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_2017\NW Wind Workshop\"/>
    </mc:Choice>
  </mc:AlternateContent>
  <bookViews>
    <workbookView xWindow="0" yWindow="45" windowWidth="19035" windowHeight="12270" activeTab="1"/>
  </bookViews>
  <sheets>
    <sheet name="WECC Equivalent" sheetId="4" r:id="rId1"/>
    <sheet name="Full Detail Model" sheetId="2" r:id="rId2"/>
    <sheet name="Cable Data" sheetId="1" r:id="rId3"/>
  </sheets>
  <externalReferences>
    <externalReference r:id="rId4"/>
  </externalReferences>
  <definedNames>
    <definedName name="cable">[1]LISTS!$B$3:$B$6</definedName>
    <definedName name="_xlnm.Print_Area" localSheetId="1">'Full Detail Model'!#REF!</definedName>
  </definedNames>
  <calcPr calcId="152511"/>
</workbook>
</file>

<file path=xl/calcChain.xml><?xml version="1.0" encoding="utf-8"?>
<calcChain xmlns="http://schemas.openxmlformats.org/spreadsheetml/2006/main">
  <c r="D31" i="2" l="1"/>
  <c r="D30" i="2"/>
  <c r="D29" i="2"/>
  <c r="D28" i="2"/>
  <c r="D32" i="2"/>
  <c r="R30" i="2"/>
  <c r="S30" i="2" s="1"/>
  <c r="P30" i="2"/>
  <c r="Q30" i="2" s="1"/>
  <c r="N30" i="2"/>
  <c r="M30" i="2"/>
  <c r="L30" i="2"/>
  <c r="K30" i="2"/>
  <c r="J30" i="2"/>
  <c r="I30" i="2"/>
  <c r="R29" i="2"/>
  <c r="S29" i="2" s="1"/>
  <c r="P29" i="2"/>
  <c r="Q29" i="2"/>
  <c r="N29" i="2"/>
  <c r="M29" i="2"/>
  <c r="L29" i="2"/>
  <c r="K29" i="2"/>
  <c r="J29" i="2"/>
  <c r="I29" i="2"/>
  <c r="R28" i="2"/>
  <c r="S28" i="2" s="1"/>
  <c r="P28" i="2"/>
  <c r="Q28" i="2" s="1"/>
  <c r="N28" i="2"/>
  <c r="M28" i="2"/>
  <c r="L28" i="2"/>
  <c r="K28" i="2"/>
  <c r="J28" i="2"/>
  <c r="I28" i="2"/>
  <c r="D36" i="2"/>
  <c r="D37" i="2"/>
  <c r="D39" i="2"/>
  <c r="D8" i="2"/>
  <c r="D11" i="2"/>
  <c r="D10" i="2"/>
  <c r="D9" i="2"/>
  <c r="R11" i="2"/>
  <c r="S11" i="2" s="1"/>
  <c r="P11" i="2"/>
  <c r="Q11" i="2" s="1"/>
  <c r="L11" i="2"/>
  <c r="K11" i="2"/>
  <c r="J11" i="2"/>
  <c r="I11" i="2"/>
  <c r="R10" i="2"/>
  <c r="S10" i="2"/>
  <c r="P10" i="2"/>
  <c r="Q10" i="2"/>
  <c r="L10" i="2"/>
  <c r="K10" i="2"/>
  <c r="J10" i="2"/>
  <c r="I10" i="2"/>
  <c r="R9" i="2"/>
  <c r="S9" i="2"/>
  <c r="P9" i="2"/>
  <c r="Q9" i="2"/>
  <c r="L9" i="2"/>
  <c r="K9" i="2"/>
  <c r="J9" i="2"/>
  <c r="I9" i="2"/>
  <c r="P176" i="4"/>
  <c r="O176" i="4"/>
  <c r="P175" i="4"/>
  <c r="O175" i="4"/>
  <c r="P174" i="4"/>
  <c r="O174" i="4"/>
  <c r="P173" i="4"/>
  <c r="O173" i="4"/>
  <c r="P172" i="4"/>
  <c r="O172" i="4"/>
  <c r="P171" i="4"/>
  <c r="O171" i="4"/>
  <c r="P170" i="4"/>
  <c r="O170" i="4"/>
  <c r="P169" i="4"/>
  <c r="O169" i="4"/>
  <c r="P168" i="4"/>
  <c r="O168" i="4"/>
  <c r="P167" i="4"/>
  <c r="O167" i="4"/>
  <c r="P166" i="4"/>
  <c r="O166" i="4"/>
  <c r="P165" i="4"/>
  <c r="O165" i="4"/>
  <c r="P164" i="4"/>
  <c r="O164" i="4"/>
  <c r="P163" i="4"/>
  <c r="O163" i="4"/>
  <c r="P162" i="4"/>
  <c r="O162" i="4"/>
  <c r="P161" i="4"/>
  <c r="O161" i="4"/>
  <c r="P160" i="4"/>
  <c r="O160" i="4"/>
  <c r="P159" i="4"/>
  <c r="O159" i="4"/>
  <c r="P158" i="4"/>
  <c r="O158" i="4"/>
  <c r="P157" i="4"/>
  <c r="O157" i="4"/>
  <c r="R40" i="2"/>
  <c r="S40" i="2" s="1"/>
  <c r="P40" i="2"/>
  <c r="Q40" i="2" s="1"/>
  <c r="N40" i="2"/>
  <c r="M40" i="2"/>
  <c r="L40" i="2"/>
  <c r="K40" i="2"/>
  <c r="J40" i="2"/>
  <c r="I40" i="2"/>
  <c r="D17" i="2"/>
  <c r="D16" i="2"/>
  <c r="D15" i="2"/>
  <c r="D13" i="2"/>
  <c r="D12" i="2"/>
  <c r="D19" i="2"/>
  <c r="T1" i="2"/>
  <c r="V10" i="2" s="1"/>
  <c r="I8" i="2"/>
  <c r="J8" i="2"/>
  <c r="K8" i="2"/>
  <c r="L8" i="2"/>
  <c r="P8" i="2"/>
  <c r="Q8" i="2" s="1"/>
  <c r="R8" i="2"/>
  <c r="S8" i="2" s="1"/>
  <c r="I12" i="2"/>
  <c r="J12" i="2"/>
  <c r="K12" i="2"/>
  <c r="L12" i="2"/>
  <c r="U12" i="2" s="1"/>
  <c r="P12" i="2"/>
  <c r="Q12" i="2"/>
  <c r="R12" i="2"/>
  <c r="S12" i="2"/>
  <c r="I13" i="2"/>
  <c r="J13" i="2"/>
  <c r="V13" i="2" s="1"/>
  <c r="K13" i="2"/>
  <c r="L13" i="2"/>
  <c r="U13" i="2" s="1"/>
  <c r="P13" i="2"/>
  <c r="Q13" i="2"/>
  <c r="R13" i="2"/>
  <c r="S13" i="2" s="1"/>
  <c r="I14" i="2"/>
  <c r="J14" i="2"/>
  <c r="K14" i="2"/>
  <c r="T14" i="2" s="1"/>
  <c r="L14" i="2"/>
  <c r="P14" i="2"/>
  <c r="Q14" i="2" s="1"/>
  <c r="R14" i="2"/>
  <c r="S14" i="2" s="1"/>
  <c r="I15" i="2"/>
  <c r="J15" i="2"/>
  <c r="K15" i="2"/>
  <c r="L15" i="2"/>
  <c r="U15" i="2" s="1"/>
  <c r="P15" i="2"/>
  <c r="Q15" i="2" s="1"/>
  <c r="R15" i="2"/>
  <c r="S15" i="2" s="1"/>
  <c r="I16" i="2"/>
  <c r="J16" i="2"/>
  <c r="K16" i="2"/>
  <c r="T16" i="2" s="1"/>
  <c r="L16" i="2"/>
  <c r="P16" i="2"/>
  <c r="Q16" i="2" s="1"/>
  <c r="R16" i="2"/>
  <c r="S16" i="2" s="1"/>
  <c r="I17" i="2"/>
  <c r="J17" i="2"/>
  <c r="K17" i="2"/>
  <c r="L17" i="2"/>
  <c r="U17" i="2" s="1"/>
  <c r="P17" i="2"/>
  <c r="Q17" i="2" s="1"/>
  <c r="R17" i="2"/>
  <c r="S17" i="2" s="1"/>
  <c r="I18" i="2"/>
  <c r="J18" i="2"/>
  <c r="K18" i="2"/>
  <c r="T18" i="2" s="1"/>
  <c r="L18" i="2"/>
  <c r="P18" i="2"/>
  <c r="Q18" i="2" s="1"/>
  <c r="R18" i="2"/>
  <c r="S18" i="2" s="1"/>
  <c r="I19" i="2"/>
  <c r="J19" i="2"/>
  <c r="K19" i="2"/>
  <c r="L19" i="2"/>
  <c r="P19" i="2"/>
  <c r="Q19" i="2" s="1"/>
  <c r="R19" i="2"/>
  <c r="S19" i="2" s="1"/>
  <c r="F20" i="2"/>
  <c r="E20" i="2" s="1"/>
  <c r="I20" i="2"/>
  <c r="J20" i="2"/>
  <c r="V20" i="2" s="1"/>
  <c r="K20" i="2"/>
  <c r="L20" i="2"/>
  <c r="U20" i="2" s="1"/>
  <c r="P20" i="2"/>
  <c r="Q20" i="2" s="1"/>
  <c r="R20" i="2"/>
  <c r="S20" i="2" s="1"/>
  <c r="I31" i="2"/>
  <c r="J31" i="2"/>
  <c r="K31" i="2"/>
  <c r="T31" i="2" s="1"/>
  <c r="L31" i="2"/>
  <c r="M31" i="2"/>
  <c r="N31" i="2"/>
  <c r="P31" i="2"/>
  <c r="Q31" i="2" s="1"/>
  <c r="R31" i="2"/>
  <c r="S31" i="2" s="1"/>
  <c r="I32" i="2"/>
  <c r="J32" i="2"/>
  <c r="V32" i="2" s="1"/>
  <c r="K32" i="2"/>
  <c r="T32" i="2" s="1"/>
  <c r="L32" i="2"/>
  <c r="M32" i="2"/>
  <c r="N32" i="2"/>
  <c r="P32" i="2"/>
  <c r="Q32" i="2" s="1"/>
  <c r="R32" i="2"/>
  <c r="S32" i="2" s="1"/>
  <c r="I33" i="2"/>
  <c r="J33" i="2"/>
  <c r="K33" i="2"/>
  <c r="T33" i="2" s="1"/>
  <c r="L33" i="2"/>
  <c r="M33" i="2"/>
  <c r="N33" i="2"/>
  <c r="P33" i="2"/>
  <c r="Q33" i="2" s="1"/>
  <c r="R33" i="2"/>
  <c r="S33" i="2" s="1"/>
  <c r="I34" i="2"/>
  <c r="J34" i="2"/>
  <c r="K34" i="2"/>
  <c r="L34" i="2"/>
  <c r="U34" i="2" s="1"/>
  <c r="M34" i="2"/>
  <c r="N34" i="2"/>
  <c r="P34" i="2"/>
  <c r="Q34" i="2"/>
  <c r="R34" i="2"/>
  <c r="S34" i="2" s="1"/>
  <c r="I35" i="2"/>
  <c r="J35" i="2"/>
  <c r="K35" i="2"/>
  <c r="L35" i="2"/>
  <c r="M35" i="2"/>
  <c r="N35" i="2"/>
  <c r="P35" i="2"/>
  <c r="Q35" i="2" s="1"/>
  <c r="R35" i="2"/>
  <c r="S35" i="2" s="1"/>
  <c r="I36" i="2"/>
  <c r="J36" i="2"/>
  <c r="V36" i="2" s="1"/>
  <c r="K36" i="2"/>
  <c r="L36" i="2"/>
  <c r="U36" i="2" s="1"/>
  <c r="M36" i="2"/>
  <c r="N36" i="2"/>
  <c r="P36" i="2"/>
  <c r="Q36" i="2"/>
  <c r="R36" i="2"/>
  <c r="S36" i="2"/>
  <c r="I37" i="2"/>
  <c r="J37" i="2"/>
  <c r="K37" i="2"/>
  <c r="T37" i="2"/>
  <c r="L37" i="2"/>
  <c r="M37" i="2"/>
  <c r="N37" i="2"/>
  <c r="P37" i="2"/>
  <c r="Q37" i="2" s="1"/>
  <c r="R37" i="2"/>
  <c r="S37" i="2" s="1"/>
  <c r="I38" i="2"/>
  <c r="J38" i="2"/>
  <c r="V38" i="2" s="1"/>
  <c r="K38" i="2"/>
  <c r="L38" i="2"/>
  <c r="U38" i="2" s="1"/>
  <c r="M38" i="2"/>
  <c r="N38" i="2"/>
  <c r="P38" i="2"/>
  <c r="Q38" i="2"/>
  <c r="R38" i="2"/>
  <c r="S38" i="2" s="1"/>
  <c r="I39" i="2"/>
  <c r="J39" i="2"/>
  <c r="V39" i="2" s="1"/>
  <c r="K39" i="2"/>
  <c r="T39" i="2" s="1"/>
  <c r="L39" i="2"/>
  <c r="M39" i="2"/>
  <c r="N39" i="2"/>
  <c r="P39" i="2"/>
  <c r="Q39" i="2" s="1"/>
  <c r="R39" i="2"/>
  <c r="S39" i="2" s="1"/>
  <c r="F41" i="2"/>
  <c r="I41" i="2"/>
  <c r="J41" i="2"/>
  <c r="K41" i="2"/>
  <c r="T41" i="2" s="1"/>
  <c r="L41" i="2"/>
  <c r="M41" i="2"/>
  <c r="N41" i="2"/>
  <c r="P41" i="2"/>
  <c r="Q41" i="2" s="1"/>
  <c r="R41" i="2"/>
  <c r="S41" i="2" s="1"/>
  <c r="O4" i="4"/>
  <c r="R17" i="4" s="1"/>
  <c r="S21" i="4" s="1"/>
  <c r="P4" i="4"/>
  <c r="F5" i="4"/>
  <c r="F7" i="4" s="1"/>
  <c r="O5" i="4"/>
  <c r="P5" i="4"/>
  <c r="O6" i="4"/>
  <c r="P6" i="4"/>
  <c r="O7" i="4"/>
  <c r="P7" i="4"/>
  <c r="O8" i="4"/>
  <c r="P8" i="4"/>
  <c r="O9" i="4"/>
  <c r="P9" i="4"/>
  <c r="O10" i="4"/>
  <c r="P10" i="4"/>
  <c r="F11" i="4"/>
  <c r="O11" i="4"/>
  <c r="P11" i="4"/>
  <c r="S17" i="4" s="1"/>
  <c r="S22" i="4" s="1"/>
  <c r="F12" i="4"/>
  <c r="F13" i="4"/>
  <c r="O12" i="4"/>
  <c r="P12" i="4"/>
  <c r="O13" i="4"/>
  <c r="P13" i="4"/>
  <c r="O14" i="4"/>
  <c r="P14" i="4"/>
  <c r="O15" i="4"/>
  <c r="P15" i="4"/>
  <c r="O16" i="4"/>
  <c r="P16" i="4"/>
  <c r="O17" i="4"/>
  <c r="P17" i="4"/>
  <c r="F18" i="4"/>
  <c r="O18" i="4"/>
  <c r="P18" i="4"/>
  <c r="F19" i="4"/>
  <c r="F21" i="4" s="1"/>
  <c r="O19" i="4"/>
  <c r="P19" i="4"/>
  <c r="O20" i="4"/>
  <c r="P20" i="4"/>
  <c r="O21" i="4"/>
  <c r="P21" i="4"/>
  <c r="O22" i="4"/>
  <c r="P22" i="4"/>
  <c r="O23" i="4"/>
  <c r="P23" i="4"/>
  <c r="S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65" i="4"/>
  <c r="P65" i="4"/>
  <c r="O66" i="4"/>
  <c r="P66" i="4"/>
  <c r="O67" i="4"/>
  <c r="P67" i="4"/>
  <c r="O68" i="4"/>
  <c r="P68" i="4"/>
  <c r="O69" i="4"/>
  <c r="P69" i="4"/>
  <c r="O70" i="4"/>
  <c r="P70" i="4"/>
  <c r="O71" i="4"/>
  <c r="P71" i="4"/>
  <c r="O72" i="4"/>
  <c r="P72" i="4"/>
  <c r="O73" i="4"/>
  <c r="P73" i="4"/>
  <c r="O74" i="4"/>
  <c r="P74" i="4"/>
  <c r="O75" i="4"/>
  <c r="P75" i="4"/>
  <c r="O76" i="4"/>
  <c r="P76" i="4"/>
  <c r="O77" i="4"/>
  <c r="P77" i="4"/>
  <c r="O78" i="4"/>
  <c r="P78" i="4"/>
  <c r="O79" i="4"/>
  <c r="P79" i="4"/>
  <c r="O80" i="4"/>
  <c r="P80" i="4"/>
  <c r="O81" i="4"/>
  <c r="P81" i="4"/>
  <c r="O82" i="4"/>
  <c r="P82" i="4"/>
  <c r="O83" i="4"/>
  <c r="P83" i="4"/>
  <c r="O84" i="4"/>
  <c r="P84" i="4"/>
  <c r="O85" i="4"/>
  <c r="P85" i="4"/>
  <c r="O86" i="4"/>
  <c r="P86" i="4"/>
  <c r="O87" i="4"/>
  <c r="P87" i="4"/>
  <c r="O88" i="4"/>
  <c r="P88" i="4"/>
  <c r="O89" i="4"/>
  <c r="P89" i="4"/>
  <c r="O90" i="4"/>
  <c r="P90" i="4"/>
  <c r="O91" i="4"/>
  <c r="P91" i="4"/>
  <c r="O92" i="4"/>
  <c r="P92" i="4"/>
  <c r="O93" i="4"/>
  <c r="P93" i="4"/>
  <c r="O94" i="4"/>
  <c r="P94" i="4"/>
  <c r="O95" i="4"/>
  <c r="P95" i="4"/>
  <c r="O96" i="4"/>
  <c r="P96" i="4"/>
  <c r="O97" i="4"/>
  <c r="P97" i="4"/>
  <c r="O98" i="4"/>
  <c r="P98" i="4"/>
  <c r="O99" i="4"/>
  <c r="P99" i="4"/>
  <c r="O100" i="4"/>
  <c r="P100" i="4"/>
  <c r="O101" i="4"/>
  <c r="P101" i="4"/>
  <c r="O102" i="4"/>
  <c r="P102" i="4"/>
  <c r="O103" i="4"/>
  <c r="P103" i="4"/>
  <c r="O104" i="4"/>
  <c r="P104" i="4"/>
  <c r="O105" i="4"/>
  <c r="P105" i="4"/>
  <c r="O106" i="4"/>
  <c r="P106" i="4"/>
  <c r="O107" i="4"/>
  <c r="P107" i="4"/>
  <c r="O108" i="4"/>
  <c r="P108" i="4"/>
  <c r="O109" i="4"/>
  <c r="P109" i="4"/>
  <c r="O110" i="4"/>
  <c r="P110" i="4"/>
  <c r="O111" i="4"/>
  <c r="P111" i="4"/>
  <c r="O112" i="4"/>
  <c r="P112" i="4"/>
  <c r="O113" i="4"/>
  <c r="P113" i="4"/>
  <c r="O114" i="4"/>
  <c r="P114" i="4"/>
  <c r="O115" i="4"/>
  <c r="P115" i="4"/>
  <c r="O116" i="4"/>
  <c r="P116" i="4"/>
  <c r="O117" i="4"/>
  <c r="P117" i="4"/>
  <c r="O118" i="4"/>
  <c r="P118" i="4"/>
  <c r="O119" i="4"/>
  <c r="P119" i="4"/>
  <c r="O120" i="4"/>
  <c r="P120" i="4"/>
  <c r="O121" i="4"/>
  <c r="P121" i="4"/>
  <c r="O122" i="4"/>
  <c r="P122" i="4"/>
  <c r="O123" i="4"/>
  <c r="P123" i="4"/>
  <c r="O124" i="4"/>
  <c r="P124" i="4"/>
  <c r="O125" i="4"/>
  <c r="P125" i="4"/>
  <c r="O126" i="4"/>
  <c r="P126" i="4"/>
  <c r="O127" i="4"/>
  <c r="P127" i="4"/>
  <c r="O128" i="4"/>
  <c r="P128" i="4"/>
  <c r="O129" i="4"/>
  <c r="P129" i="4"/>
  <c r="O130" i="4"/>
  <c r="P130" i="4"/>
  <c r="O131" i="4"/>
  <c r="P131" i="4"/>
  <c r="O132" i="4"/>
  <c r="P132" i="4"/>
  <c r="O133" i="4"/>
  <c r="P133" i="4"/>
  <c r="O134" i="4"/>
  <c r="P134" i="4"/>
  <c r="O135" i="4"/>
  <c r="P135" i="4"/>
  <c r="O136" i="4"/>
  <c r="P136" i="4"/>
  <c r="O137" i="4"/>
  <c r="P137" i="4"/>
  <c r="O138" i="4"/>
  <c r="P138" i="4"/>
  <c r="O139" i="4"/>
  <c r="P139" i="4"/>
  <c r="O140" i="4"/>
  <c r="P140" i="4"/>
  <c r="O141" i="4"/>
  <c r="P141" i="4"/>
  <c r="O142" i="4"/>
  <c r="P142" i="4"/>
  <c r="O143" i="4"/>
  <c r="P143" i="4"/>
  <c r="O144" i="4"/>
  <c r="P144" i="4"/>
  <c r="O145" i="4"/>
  <c r="P145" i="4"/>
  <c r="O146" i="4"/>
  <c r="P146" i="4"/>
  <c r="O147" i="4"/>
  <c r="P147" i="4"/>
  <c r="O148" i="4"/>
  <c r="P148" i="4"/>
  <c r="O149" i="4"/>
  <c r="P149" i="4"/>
  <c r="O150" i="4"/>
  <c r="P150" i="4"/>
  <c r="O151" i="4"/>
  <c r="P151" i="4"/>
  <c r="O152" i="4"/>
  <c r="P152" i="4"/>
  <c r="O153" i="4"/>
  <c r="P153" i="4"/>
  <c r="O154" i="4"/>
  <c r="P154" i="4"/>
  <c r="O155" i="4"/>
  <c r="P155" i="4"/>
  <c r="O156" i="4"/>
  <c r="P156" i="4"/>
  <c r="O177" i="4"/>
  <c r="P177" i="4"/>
  <c r="F6" i="4"/>
  <c r="T28" i="2"/>
  <c r="F14" i="4"/>
  <c r="V28" i="2"/>
  <c r="T9" i="2"/>
  <c r="U11" i="2"/>
  <c r="T30" i="2"/>
  <c r="V30" i="2"/>
  <c r="V9" i="2"/>
  <c r="T12" i="2"/>
  <c r="V29" i="2"/>
  <c r="U14" i="2"/>
  <c r="V33" i="2"/>
  <c r="T13" i="2"/>
  <c r="U37" i="2"/>
  <c r="U32" i="2"/>
  <c r="U16" i="2"/>
  <c r="V11" i="2"/>
  <c r="U39" i="2"/>
  <c r="U31" i="2"/>
  <c r="V15" i="2"/>
  <c r="U9" i="2"/>
  <c r="U8" i="2"/>
  <c r="U1" i="2"/>
  <c r="T8" i="2"/>
  <c r="T19" i="2"/>
  <c r="V40" i="2"/>
  <c r="V8" i="2"/>
  <c r="T34" i="2"/>
  <c r="V17" i="2"/>
  <c r="V34" i="2"/>
  <c r="V37" i="2"/>
  <c r="T35" i="2"/>
  <c r="T17" i="2"/>
  <c r="T29" i="2" l="1"/>
  <c r="U28" i="2"/>
  <c r="T10" i="2"/>
  <c r="T11" i="2"/>
  <c r="U30" i="2"/>
  <c r="U40" i="2"/>
  <c r="E19" i="2"/>
  <c r="F19" i="2"/>
  <c r="F18" i="2" s="1"/>
  <c r="V12" i="2"/>
  <c r="U18" i="2"/>
  <c r="U19" i="2"/>
  <c r="V19" i="2"/>
  <c r="V18" i="2"/>
  <c r="V14" i="2"/>
  <c r="U41" i="2"/>
  <c r="U35" i="2"/>
  <c r="V31" i="2"/>
  <c r="U29" i="2"/>
  <c r="U10" i="2"/>
  <c r="F20" i="4"/>
  <c r="V16" i="2"/>
  <c r="U33" i="2"/>
  <c r="V35" i="2"/>
  <c r="T40" i="2"/>
  <c r="T15" i="2"/>
  <c r="T20" i="2"/>
  <c r="V41" i="2"/>
  <c r="T38" i="2"/>
  <c r="T36" i="2"/>
  <c r="X20" i="2"/>
  <c r="X19" i="2" l="1"/>
  <c r="E18" i="2"/>
  <c r="X18" i="2" l="1"/>
  <c r="F17" i="2"/>
  <c r="F14" i="2" l="1"/>
  <c r="E17" i="2"/>
  <c r="F16" i="2" l="1"/>
  <c r="E16" i="2" s="1"/>
  <c r="X17" i="2"/>
  <c r="F15" i="2" l="1"/>
  <c r="E15" i="2" s="1"/>
  <c r="X16" i="2"/>
  <c r="E14" i="2" l="1"/>
  <c r="X15" i="2"/>
  <c r="F13" i="2" l="1"/>
  <c r="E13" i="2" s="1"/>
  <c r="X14" i="2"/>
  <c r="F12" i="2" l="1"/>
  <c r="E12" i="2" s="1"/>
  <c r="X13" i="2"/>
  <c r="X12" i="2" l="1"/>
  <c r="F11" i="2"/>
  <c r="E11" i="2" s="1"/>
  <c r="F10" i="2" l="1"/>
  <c r="E10" i="2" s="1"/>
  <c r="X11" i="2"/>
  <c r="X10" i="2" l="1"/>
  <c r="F9" i="2"/>
  <c r="E9" i="2" s="1"/>
  <c r="F8" i="2" l="1"/>
  <c r="E8" i="2" s="1"/>
  <c r="X9" i="2"/>
  <c r="E41" i="2" l="1"/>
  <c r="X8" i="2"/>
  <c r="F40" i="2" l="1"/>
  <c r="E40" i="2"/>
  <c r="X41" i="2"/>
  <c r="E39" i="2" l="1"/>
  <c r="F39" i="2"/>
  <c r="F38" i="2" s="1"/>
  <c r="F35" i="2" s="1"/>
  <c r="X40" i="2"/>
  <c r="E38" i="2" l="1"/>
  <c r="X39" i="2"/>
  <c r="E37" i="2" l="1"/>
  <c r="F37" i="2"/>
  <c r="X38" i="2"/>
  <c r="F36" i="2" l="1"/>
  <c r="E36" i="2"/>
  <c r="X37" i="2"/>
  <c r="E35" i="2" l="1"/>
  <c r="X36" i="2"/>
  <c r="E34" i="2" l="1"/>
  <c r="F34" i="2"/>
  <c r="F33" i="2" s="1"/>
  <c r="X35" i="2"/>
  <c r="E33" i="2" l="1"/>
  <c r="X34" i="2"/>
  <c r="E32" i="2" l="1"/>
  <c r="F32" i="2"/>
  <c r="X33" i="2"/>
  <c r="E31" i="2" l="1"/>
  <c r="F31" i="2"/>
  <c r="X32" i="2"/>
  <c r="F30" i="2" l="1"/>
  <c r="X31" i="2"/>
  <c r="E30" i="2"/>
  <c r="E29" i="2" l="1"/>
  <c r="F29" i="2"/>
  <c r="X30" i="2"/>
  <c r="E28" i="2" l="1"/>
  <c r="F28" i="2"/>
  <c r="X29" i="2"/>
  <c r="X28" i="2" l="1"/>
</calcChain>
</file>

<file path=xl/comments1.xml><?xml version="1.0" encoding="utf-8"?>
<comments xmlns="http://schemas.openxmlformats.org/spreadsheetml/2006/main">
  <authors>
    <author>Abraham Ellis</author>
  </authors>
  <commentList>
    <comment ref="N3" authorId="0" shapeId="0">
      <text>
        <r>
          <rPr>
            <b/>
            <sz val="8"/>
            <color indexed="81"/>
            <rFont val="Tahoma"/>
            <family val="2"/>
          </rPr>
          <t>Abraham Ellis:</t>
        </r>
        <r>
          <rPr>
            <sz val="8"/>
            <color indexed="81"/>
            <rFont val="Tahoma"/>
            <family val="2"/>
          </rPr>
          <t xml:space="preserve">
Nomber of turbines injecting through branch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</rPr>
          <t>Abraham Ellis:</t>
        </r>
        <r>
          <rPr>
            <sz val="8"/>
            <color indexed="81"/>
            <rFont val="Tahoma"/>
            <family val="2"/>
          </rPr>
          <t xml:space="preserve">
If Pgen &lt; Pmax, adjust Qmax and Qmin accordingly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Abraham Ellis:</t>
        </r>
        <r>
          <rPr>
            <sz val="8"/>
            <color indexed="81"/>
            <rFont val="Tahoma"/>
            <family val="2"/>
          </rPr>
          <t xml:space="preserve">
At WTG terminals, without pf correction capacitors.  Model power factor correction capacitors explicitly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Abraham Ellis:</t>
        </r>
        <r>
          <rPr>
            <sz val="8"/>
            <color indexed="81"/>
            <rFont val="Tahoma"/>
            <family val="2"/>
          </rPr>
          <t xml:space="preserve">
Rating 1 and Rating 2 in powerflow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</rPr>
          <t>Abraham Ellis:</t>
        </r>
        <r>
          <rPr>
            <sz val="8"/>
            <color indexed="81"/>
            <rFont val="Tahoma"/>
            <family val="2"/>
          </rPr>
          <t xml:space="preserve">
Rating 1 and Rating 2 in powerflow</t>
        </r>
      </text>
    </comment>
  </commentList>
</comments>
</file>

<file path=xl/sharedStrings.xml><?xml version="1.0" encoding="utf-8"?>
<sst xmlns="http://schemas.openxmlformats.org/spreadsheetml/2006/main" count="262" uniqueCount="117">
  <si>
    <t>Conductor Data</t>
  </si>
  <si>
    <t>Per 1000 ft Values</t>
  </si>
  <si>
    <t>CONDUCTOR</t>
  </si>
  <si>
    <r>
      <t>I</t>
    </r>
    <r>
      <rPr>
        <b/>
        <vertAlign val="subscript"/>
        <sz val="10"/>
        <rFont val="Arial"/>
        <family val="2"/>
      </rPr>
      <t>C (uA)</t>
    </r>
  </si>
  <si>
    <t>1/Xc</t>
  </si>
  <si>
    <t>Positive &amp;Negative</t>
  </si>
  <si>
    <t>Zero Sequence</t>
  </si>
  <si>
    <t>Real</t>
  </si>
  <si>
    <t>Reactive</t>
  </si>
  <si>
    <t>Ampacity</t>
  </si>
  <si>
    <t>Typical  Collection System Cable Schedule</t>
  </si>
  <si>
    <t>MW</t>
  </si>
  <si>
    <t>System KV</t>
  </si>
  <si>
    <t>kV</t>
  </si>
  <si>
    <t>Peak Amps / phase</t>
  </si>
  <si>
    <t>= MW *1000,000*1/sqrt3 * 1/(Vl-l*1000)</t>
  </si>
  <si>
    <t>CIRCUIT</t>
  </si>
  <si>
    <t>FROM</t>
  </si>
  <si>
    <t>TO</t>
  </si>
  <si>
    <t>LENGTH  (FT)</t>
  </si>
  <si>
    <r>
      <t>I</t>
    </r>
    <r>
      <rPr>
        <b/>
        <vertAlign val="subscript"/>
        <sz val="8"/>
        <rFont val="Arial"/>
        <family val="2"/>
      </rPr>
      <t>C (uA)</t>
    </r>
  </si>
  <si>
    <t>Units This Segment</t>
  </si>
  <si>
    <t>MW This Segment</t>
  </si>
  <si>
    <t>Peak Amps</t>
  </si>
  <si>
    <t>Cable Ultimate Ampacity</t>
  </si>
  <si>
    <t>B</t>
  </si>
  <si>
    <t>Zbase</t>
  </si>
  <si>
    <t>Per Unit Calculations</t>
  </si>
  <si>
    <t>Project data input</t>
  </si>
  <si>
    <t>Powerflow data</t>
  </si>
  <si>
    <t>Collector system branches</t>
  </si>
  <si>
    <t>No of WTG</t>
  </si>
  <si>
    <t>Topology for this example</t>
  </si>
  <si>
    <t>Imped. on 100MVA base</t>
  </si>
  <si>
    <t>From</t>
  </si>
  <si>
    <t>To</t>
  </si>
  <si>
    <t>R</t>
  </si>
  <si>
    <t>X</t>
  </si>
  <si>
    <t>n</t>
  </si>
  <si>
    <t>R n^2</t>
  </si>
  <si>
    <t>X n^2</t>
  </si>
  <si>
    <t>WTG Unit Data</t>
  </si>
  <si>
    <t>Capacity</t>
  </si>
  <si>
    <t>Pmax</t>
  </si>
  <si>
    <t>PF(Lag)</t>
  </si>
  <si>
    <t>Qmax</t>
  </si>
  <si>
    <t>PF(Lead)</t>
  </si>
  <si>
    <t>Qmin</t>
  </si>
  <si>
    <t>No. WTGs</t>
  </si>
  <si>
    <t>Unit Transformer</t>
  </si>
  <si>
    <t>LV</t>
  </si>
  <si>
    <t>MVA</t>
  </si>
  <si>
    <t>HV</t>
  </si>
  <si>
    <t>Z</t>
  </si>
  <si>
    <t>Z (%)</t>
  </si>
  <si>
    <t>on MVA base</t>
  </si>
  <si>
    <t>X/R</t>
  </si>
  <si>
    <t>Partial R</t>
  </si>
  <si>
    <t>Partial X</t>
  </si>
  <si>
    <t>Station Transformer</t>
  </si>
  <si>
    <t>ONAN</t>
  </si>
  <si>
    <t>OF</t>
  </si>
  <si>
    <t>Collector System Equivalent Model</t>
  </si>
  <si>
    <t>OFAF</t>
  </si>
  <si>
    <t>(Same units as R, X &amp; B data)</t>
  </si>
  <si>
    <t>Z%</t>
  </si>
  <si>
    <t>% ONAN</t>
  </si>
  <si>
    <t>Model these explicitly:</t>
  </si>
  <si>
    <t>Capacitors Mvar</t>
  </si>
  <si>
    <t>Statcom/SVC Mvar</t>
  </si>
  <si>
    <t>Do not change the data and formulas in Pink</t>
  </si>
  <si>
    <t>At WTG</t>
  </si>
  <si>
    <t>At collector</t>
  </si>
  <si>
    <t>Please DO change the input data in Green</t>
  </si>
  <si>
    <t xml:space="preserve">NOTE  </t>
  </si>
  <si>
    <t>USE AT YOUR OWN RISK. This is an example with made up data representing a 27 MW wind farm with 18 Type 3 WTGs, 1.5 MW each.  Input datea goes in cell shaded Green. Output data are in cells shaded Blue. Do not modify formulas in cells shaded Pink. Contact:</t>
  </si>
  <si>
    <t>If more room is neede, modify equivalent impedance formulas</t>
  </si>
  <si>
    <t>Unit Size</t>
  </si>
  <si>
    <t>MODEL BRANCH DATA</t>
  </si>
  <si>
    <t>1000 kCMIL</t>
  </si>
  <si>
    <t>750kCMIL</t>
  </si>
  <si>
    <t>4/0 AWG</t>
  </si>
  <si>
    <t>350KCMIL</t>
  </si>
  <si>
    <t>1/0 AWG</t>
  </si>
  <si>
    <t>Xc (Meg_ohm/ft)</t>
  </si>
  <si>
    <t>SUB</t>
  </si>
  <si>
    <t>T2</t>
  </si>
  <si>
    <t>T1</t>
  </si>
  <si>
    <t>1250 kCMIL</t>
  </si>
  <si>
    <t>500 kCMIL</t>
  </si>
  <si>
    <t>T10</t>
  </si>
  <si>
    <t>T9</t>
  </si>
  <si>
    <t>T8</t>
  </si>
  <si>
    <t>T7</t>
  </si>
  <si>
    <t>T6</t>
  </si>
  <si>
    <t>T5</t>
  </si>
  <si>
    <t>T4</t>
  </si>
  <si>
    <t>T3</t>
  </si>
  <si>
    <t>T18</t>
  </si>
  <si>
    <t>T19</t>
  </si>
  <si>
    <t>T20</t>
  </si>
  <si>
    <t>T21</t>
  </si>
  <si>
    <t>T17</t>
  </si>
  <si>
    <t>T16</t>
  </si>
  <si>
    <t>T15</t>
  </si>
  <si>
    <t>T14</t>
  </si>
  <si>
    <t>T13</t>
  </si>
  <si>
    <t>T12</t>
  </si>
  <si>
    <t>T11</t>
  </si>
  <si>
    <t>T34</t>
  </si>
  <si>
    <t>T43</t>
  </si>
  <si>
    <t>1000 Kcmil</t>
  </si>
  <si>
    <t>Sub 2</t>
  </si>
  <si>
    <t>JB1-1</t>
  </si>
  <si>
    <t>JB1-2</t>
  </si>
  <si>
    <t>JB2-1</t>
  </si>
  <si>
    <t>JB2-2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</si>
</sst>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_(* #,##0_);_(* \(#,##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0_);_(* \(#,##0.0000000\);_(* &quot;-&quot;??_);_(@_)"/>
    <numFmt numFmtId="171" formatCode="0.0000000000000000"/>
    <numFmt numFmtId="172" formatCode="0.000E+00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Alignment="1"/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4" xfId="0" applyBorder="1"/>
    <xf numFmtId="0" fontId="4" fillId="0" borderId="5" xfId="0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7" fontId="1" fillId="0" borderId="9" xfId="1" applyNumberFormat="1" applyBorder="1" applyAlignment="1">
      <alignment horizontal="left" indent="2"/>
    </xf>
    <xf numFmtId="165" fontId="0" fillId="0" borderId="10" xfId="0" applyNumberFormat="1" applyBorder="1"/>
    <xf numFmtId="165" fontId="0" fillId="0" borderId="11" xfId="0" applyNumberFormat="1" applyBorder="1"/>
    <xf numFmtId="1" fontId="0" fillId="0" borderId="12" xfId="0" applyNumberFormat="1" applyFill="1" applyBorder="1"/>
    <xf numFmtId="0" fontId="2" fillId="0" borderId="13" xfId="0" applyFont="1" applyBorder="1" applyAlignment="1">
      <alignment horizontal="center"/>
    </xf>
    <xf numFmtId="167" fontId="1" fillId="0" borderId="14" xfId="1" applyNumberFormat="1" applyBorder="1" applyAlignment="1">
      <alignment horizontal="left" indent="2"/>
    </xf>
    <xf numFmtId="165" fontId="0" fillId="0" borderId="15" xfId="0" applyNumberFormat="1" applyBorder="1"/>
    <xf numFmtId="165" fontId="0" fillId="0" borderId="16" xfId="0" applyNumberFormat="1" applyBorder="1"/>
    <xf numFmtId="1" fontId="0" fillId="0" borderId="17" xfId="0" applyNumberFormat="1" applyFill="1" applyBorder="1"/>
    <xf numFmtId="0" fontId="2" fillId="0" borderId="5" xfId="0" applyFont="1" applyBorder="1" applyAlignment="1">
      <alignment horizontal="center"/>
    </xf>
    <xf numFmtId="167" fontId="1" fillId="0" borderId="6" xfId="1" applyNumberFormat="1" applyBorder="1" applyAlignment="1">
      <alignment horizontal="left" indent="2"/>
    </xf>
    <xf numFmtId="165" fontId="0" fillId="0" borderId="18" xfId="0" applyNumberFormat="1" applyBorder="1"/>
    <xf numFmtId="165" fontId="0" fillId="0" borderId="19" xfId="0" applyNumberFormat="1" applyBorder="1"/>
    <xf numFmtId="1" fontId="0" fillId="0" borderId="8" xfId="0" applyNumberFormat="1" applyFill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quotePrefix="1" applyFont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3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167" fontId="1" fillId="3" borderId="22" xfId="1" applyNumberFormat="1" applyFill="1" applyBorder="1"/>
    <xf numFmtId="170" fontId="1" fillId="3" borderId="22" xfId="1" applyNumberFormat="1" applyFill="1" applyBorder="1"/>
    <xf numFmtId="168" fontId="1" fillId="3" borderId="22" xfId="1" applyNumberFormat="1" applyFill="1" applyBorder="1"/>
    <xf numFmtId="0" fontId="0" fillId="0" borderId="22" xfId="0" applyBorder="1" applyAlignment="1">
      <alignment vertical="center"/>
    </xf>
    <xf numFmtId="0" fontId="0" fillId="3" borderId="22" xfId="0" applyFill="1" applyBorder="1"/>
    <xf numFmtId="1" fontId="0" fillId="3" borderId="22" xfId="0" applyNumberFormat="1" applyFill="1" applyBorder="1"/>
    <xf numFmtId="167" fontId="1" fillId="3" borderId="23" xfId="1" applyNumberFormat="1" applyFill="1" applyBorder="1"/>
    <xf numFmtId="0" fontId="0" fillId="0" borderId="13" xfId="0" applyBorder="1" applyAlignment="1">
      <alignment horizontal="center"/>
    </xf>
    <xf numFmtId="167" fontId="1" fillId="3" borderId="13" xfId="1" applyNumberFormat="1" applyFill="1" applyBorder="1"/>
    <xf numFmtId="168" fontId="1" fillId="3" borderId="13" xfId="1" applyNumberFormat="1" applyFill="1" applyBorder="1"/>
    <xf numFmtId="0" fontId="0" fillId="0" borderId="13" xfId="0" applyBorder="1"/>
    <xf numFmtId="0" fontId="0" fillId="3" borderId="13" xfId="0" applyFill="1" applyBorder="1"/>
    <xf numFmtId="1" fontId="0" fillId="3" borderId="13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9" fillId="2" borderId="5" xfId="0" applyFont="1" applyFill="1" applyBorder="1" applyAlignment="1">
      <alignment vertical="center"/>
    </xf>
    <xf numFmtId="0" fontId="4" fillId="0" borderId="0" xfId="0" applyFont="1"/>
    <xf numFmtId="169" fontId="0" fillId="0" borderId="0" xfId="0" applyNumberFormat="1"/>
    <xf numFmtId="170" fontId="0" fillId="0" borderId="0" xfId="0" applyNumberFormat="1"/>
    <xf numFmtId="0" fontId="0" fillId="4" borderId="0" xfId="0" applyFill="1" applyAlignment="1">
      <alignment horizontal="center"/>
    </xf>
    <xf numFmtId="0" fontId="0" fillId="4" borderId="0" xfId="0" applyFill="1"/>
    <xf numFmtId="0" fontId="4" fillId="0" borderId="0" xfId="0" applyFont="1" applyAlignment="1">
      <alignment horizontal="left"/>
    </xf>
    <xf numFmtId="0" fontId="4" fillId="5" borderId="0" xfId="0" applyFont="1" applyFill="1" applyAlignment="1">
      <alignment horizontal="left"/>
    </xf>
    <xf numFmtId="0" fontId="0" fillId="5" borderId="0" xfId="0" applyFill="1"/>
    <xf numFmtId="0" fontId="4" fillId="5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3" xfId="0" applyFont="1" applyFill="1" applyBorder="1" applyAlignment="1">
      <alignment horizontal="center"/>
    </xf>
    <xf numFmtId="165" fontId="4" fillId="6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5" borderId="13" xfId="0" applyFill="1" applyBorder="1" applyAlignment="1">
      <alignment horizontal="center"/>
    </xf>
    <xf numFmtId="0" fontId="0" fillId="5" borderId="13" xfId="0" applyFill="1" applyBorder="1"/>
    <xf numFmtId="165" fontId="0" fillId="6" borderId="13" xfId="0" applyNumberFormat="1" applyFill="1" applyBorder="1" applyAlignment="1">
      <alignment horizontal="center"/>
    </xf>
    <xf numFmtId="165" fontId="0" fillId="0" borderId="0" xfId="0" applyNumberFormat="1"/>
    <xf numFmtId="0" fontId="4" fillId="2" borderId="13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164" fontId="4" fillId="7" borderId="13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7" borderId="13" xfId="0" applyFont="1" applyFill="1" applyBorder="1" applyAlignment="1">
      <alignment horizontal="right"/>
    </xf>
    <xf numFmtId="166" fontId="4" fillId="6" borderId="13" xfId="0" applyNumberFormat="1" applyFont="1" applyFill="1" applyBorder="1" applyAlignment="1">
      <alignment horizontal="right"/>
    </xf>
    <xf numFmtId="166" fontId="4" fillId="7" borderId="13" xfId="0" applyNumberFormat="1" applyFont="1" applyFill="1" applyBorder="1" applyAlignment="1">
      <alignment horizontal="right"/>
    </xf>
    <xf numFmtId="171" fontId="0" fillId="4" borderId="0" xfId="0" applyNumberFormat="1" applyFill="1" applyAlignment="1">
      <alignment horizontal="center"/>
    </xf>
    <xf numFmtId="165" fontId="4" fillId="0" borderId="0" xfId="0" applyNumberFormat="1" applyFont="1"/>
    <xf numFmtId="165" fontId="0" fillId="0" borderId="0" xfId="0" applyNumberFormat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165" fontId="4" fillId="6" borderId="13" xfId="0" applyNumberFormat="1" applyFont="1" applyFill="1" applyBorder="1" applyAlignment="1">
      <alignment horizontal="right"/>
    </xf>
    <xf numFmtId="165" fontId="4" fillId="7" borderId="13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6" borderId="0" xfId="0" applyFill="1" applyAlignment="1" applyProtection="1"/>
    <xf numFmtId="0" fontId="0" fillId="6" borderId="0" xfId="0" applyFill="1"/>
    <xf numFmtId="0" fontId="0" fillId="0" borderId="0" xfId="0" applyBorder="1" applyAlignment="1">
      <alignment horizontal="right" vertical="top"/>
    </xf>
    <xf numFmtId="0" fontId="4" fillId="2" borderId="13" xfId="0" applyFont="1" applyFill="1" applyBorder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165" fontId="0" fillId="4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2" borderId="18" xfId="0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167" fontId="1" fillId="0" borderId="25" xfId="1" applyNumberFormat="1" applyBorder="1" applyAlignment="1">
      <alignment horizontal="left" indent="2"/>
    </xf>
    <xf numFmtId="165" fontId="0" fillId="0" borderId="26" xfId="0" applyNumberFormat="1" applyBorder="1"/>
    <xf numFmtId="165" fontId="0" fillId="0" borderId="27" xfId="0" applyNumberFormat="1" applyBorder="1"/>
    <xf numFmtId="1" fontId="0" fillId="0" borderId="28" xfId="0" applyNumberFormat="1" applyFill="1" applyBorder="1"/>
    <xf numFmtId="0" fontId="4" fillId="0" borderId="0" xfId="0" applyFont="1" applyAlignment="1">
      <alignment vertical="center"/>
    </xf>
    <xf numFmtId="43" fontId="0" fillId="0" borderId="0" xfId="0" applyNumberFormat="1"/>
    <xf numFmtId="172" fontId="0" fillId="0" borderId="0" xfId="0" applyNumberFormat="1"/>
    <xf numFmtId="1" fontId="0" fillId="0" borderId="18" xfId="0" applyNumberFormat="1" applyBorder="1"/>
    <xf numFmtId="1" fontId="0" fillId="0" borderId="26" xfId="0" applyNumberFormat="1" applyBorder="1"/>
    <xf numFmtId="1" fontId="0" fillId="0" borderId="10" xfId="0" applyNumberFormat="1" applyBorder="1"/>
    <xf numFmtId="0" fontId="10" fillId="0" borderId="10" xfId="0" applyFont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5" borderId="0" xfId="0" applyFill="1" applyProtection="1">
      <protection locked="0"/>
    </xf>
    <xf numFmtId="0" fontId="4" fillId="8" borderId="29" xfId="0" applyFont="1" applyFill="1" applyBorder="1" applyAlignment="1">
      <alignment horizontal="left" vertical="top"/>
    </xf>
    <xf numFmtId="0" fontId="4" fillId="8" borderId="16" xfId="0" applyFont="1" applyFill="1" applyBorder="1" applyAlignment="1">
      <alignment horizontal="left" vertical="top"/>
    </xf>
    <xf numFmtId="0" fontId="4" fillId="8" borderId="15" xfId="0" applyFont="1" applyFill="1" applyBorder="1" applyAlignment="1">
      <alignment horizontal="left" vertical="top"/>
    </xf>
    <xf numFmtId="0" fontId="4" fillId="8" borderId="27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top" wrapText="1"/>
    </xf>
    <xf numFmtId="0" fontId="0" fillId="4" borderId="0" xfId="0" applyFill="1" applyAlignment="1">
      <alignment horizont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</xdr:row>
      <xdr:rowOff>57150</xdr:rowOff>
    </xdr:from>
    <xdr:to>
      <xdr:col>21</xdr:col>
      <xdr:colOff>152400</xdr:colOff>
      <xdr:row>14</xdr:row>
      <xdr:rowOff>104775</xdr:rowOff>
    </xdr:to>
    <xdr:pic>
      <xdr:nvPicPr>
        <xdr:cNvPr id="31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4000" t="29601" b="19359"/>
        <a:stretch>
          <a:fillRect/>
        </a:stretch>
      </xdr:blipFill>
      <xdr:spPr bwMode="auto">
        <a:xfrm>
          <a:off x="8486775" y="314325"/>
          <a:ext cx="2676525" cy="1990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r46512/Local%20Settings/Temporary%20Internet%20Files/OLK8/070725_PacifiCorp%20Cable%20Schedules_JCR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PACITY CALCS"/>
      <sheetName val="CONDUCTOR IMPEDANCES"/>
      <sheetName val="SPEC"/>
      <sheetName val="LISTS"/>
      <sheetName val="Glenrock Cable Schedule"/>
      <sheetName val="Power County Cable Schedule"/>
      <sheetName val="Seven Mile Hill Cable Schedule"/>
    </sheetNames>
    <sheetDataSet>
      <sheetData sheetId="0"/>
      <sheetData sheetId="1"/>
      <sheetData sheetId="2"/>
      <sheetData sheetId="3">
        <row r="3">
          <cell r="B3" t="str">
            <v>1/0 AWG</v>
          </cell>
        </row>
        <row r="4">
          <cell r="B4" t="str">
            <v>350 KCMIL</v>
          </cell>
        </row>
        <row r="5">
          <cell r="B5" t="str">
            <v>750 KCMIL</v>
          </cell>
        </row>
        <row r="6">
          <cell r="B6" t="str">
            <v>1000 KCMIL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8"/>
  <sheetViews>
    <sheetView workbookViewId="0">
      <selection activeCell="A2" sqref="A2"/>
    </sheetView>
  </sheetViews>
  <sheetFormatPr defaultRowHeight="12.75" x14ac:dyDescent="0.2"/>
  <cols>
    <col min="1" max="1" width="1.28515625" style="115" customWidth="1"/>
    <col min="2" max="2" width="11.5703125" style="115" customWidth="1"/>
    <col min="3" max="3" width="6.85546875" style="115" customWidth="1"/>
    <col min="4" max="4" width="11.28515625" style="115" customWidth="1"/>
    <col min="5" max="5" width="6.7109375" style="115" customWidth="1"/>
    <col min="6" max="6" width="9.5703125" style="115" bestFit="1" customWidth="1"/>
    <col min="7" max="7" width="7.28515625" style="115" customWidth="1"/>
    <col min="8" max="8" width="1.28515625" style="115" customWidth="1"/>
    <col min="9" max="9" width="11.28515625" style="115" customWidth="1"/>
    <col min="10" max="10" width="10.140625" style="116" customWidth="1"/>
    <col min="11" max="12" width="8.5703125" style="116" bestFit="1" customWidth="1"/>
    <col min="13" max="13" width="10.7109375" style="116" bestFit="1" customWidth="1"/>
    <col min="14" max="14" width="4.140625" style="116" customWidth="1"/>
    <col min="15" max="15" width="8.28515625" style="116" customWidth="1"/>
    <col min="16" max="16" width="8.42578125" style="116" customWidth="1"/>
    <col min="17" max="17" width="0.7109375" customWidth="1"/>
    <col min="21" max="21" width="11" bestFit="1" customWidth="1"/>
  </cols>
  <sheetData>
    <row r="1" spans="1:20" s="76" customFormat="1" ht="7.9" customHeight="1" x14ac:dyDescent="0.2">
      <c r="A1" s="75"/>
      <c r="B1" s="75"/>
      <c r="C1" s="75"/>
      <c r="D1" s="75"/>
      <c r="E1" s="75"/>
      <c r="F1" s="75"/>
      <c r="G1" s="75"/>
      <c r="H1" s="75"/>
      <c r="I1" s="75"/>
    </row>
    <row r="2" spans="1:20" x14ac:dyDescent="0.2">
      <c r="A2" s="75"/>
      <c r="B2" s="77" t="s">
        <v>28</v>
      </c>
      <c r="C2" s="77"/>
      <c r="D2" s="36"/>
      <c r="E2" s="77" t="s">
        <v>29</v>
      </c>
      <c r="F2" s="77"/>
      <c r="G2" s="36"/>
      <c r="H2" s="75"/>
      <c r="I2" s="77" t="s">
        <v>30</v>
      </c>
      <c r="J2"/>
      <c r="K2"/>
      <c r="L2"/>
      <c r="M2" s="78" t="s">
        <v>31</v>
      </c>
      <c r="N2" s="79"/>
      <c r="O2" s="80">
        <v>23</v>
      </c>
      <c r="P2" s="81"/>
      <c r="R2" s="77" t="s">
        <v>32</v>
      </c>
    </row>
    <row r="3" spans="1:20" x14ac:dyDescent="0.2">
      <c r="A3" s="75"/>
      <c r="B3" s="77"/>
      <c r="C3" s="77"/>
      <c r="D3" s="36"/>
      <c r="E3" s="77" t="s">
        <v>33</v>
      </c>
      <c r="F3" s="77"/>
      <c r="G3" s="36"/>
      <c r="H3" s="75"/>
      <c r="I3" s="82" t="s">
        <v>34</v>
      </c>
      <c r="J3" s="82" t="s">
        <v>35</v>
      </c>
      <c r="K3" s="83" t="s">
        <v>36</v>
      </c>
      <c r="L3" s="83" t="s">
        <v>37</v>
      </c>
      <c r="M3" s="83" t="s">
        <v>25</v>
      </c>
      <c r="N3" s="83" t="s">
        <v>38</v>
      </c>
      <c r="O3" s="83" t="s">
        <v>39</v>
      </c>
      <c r="P3" s="83" t="s">
        <v>40</v>
      </c>
    </row>
    <row r="4" spans="1:20" x14ac:dyDescent="0.2">
      <c r="A4" s="75"/>
      <c r="B4" s="77" t="s">
        <v>41</v>
      </c>
      <c r="C4" s="36"/>
      <c r="D4" s="36"/>
      <c r="E4" s="84"/>
      <c r="F4" s="36"/>
      <c r="G4" s="36"/>
      <c r="H4" s="75"/>
      <c r="I4" s="85" t="s">
        <v>103</v>
      </c>
      <c r="J4" s="85" t="s">
        <v>102</v>
      </c>
      <c r="K4" s="86">
        <v>1.5886578449905483E-2</v>
      </c>
      <c r="L4" s="86">
        <v>4.0075614366729675E-3</v>
      </c>
      <c r="M4" s="86">
        <v>1.615369243403565E-4</v>
      </c>
      <c r="N4" s="86">
        <v>1</v>
      </c>
      <c r="O4" s="87">
        <f t="shared" ref="O4:O35" si="0">+K4*N4^2</f>
        <v>1.5886578449905483E-2</v>
      </c>
      <c r="P4" s="87">
        <f t="shared" ref="P4:P35" si="1">+L4*N4^2</f>
        <v>4.0075614366729675E-3</v>
      </c>
      <c r="Q4" s="88"/>
    </row>
    <row r="5" spans="1:20" x14ac:dyDescent="0.2">
      <c r="A5" s="75"/>
      <c r="B5" s="70" t="s">
        <v>42</v>
      </c>
      <c r="C5" s="89">
        <v>2.1</v>
      </c>
      <c r="D5" s="90" t="s">
        <v>11</v>
      </c>
      <c r="E5" s="70" t="s">
        <v>43</v>
      </c>
      <c r="F5" s="91">
        <f>+C5*C8</f>
        <v>48.300000000000004</v>
      </c>
      <c r="G5" s="36"/>
      <c r="H5" s="75"/>
      <c r="I5" s="85" t="s">
        <v>102</v>
      </c>
      <c r="J5" s="85" t="s">
        <v>94</v>
      </c>
      <c r="K5" s="86">
        <v>4.4129384583070787E-2</v>
      </c>
      <c r="L5" s="86">
        <v>1.1132115101869356E-2</v>
      </c>
      <c r="M5" s="86">
        <v>4.4871367872321256E-4</v>
      </c>
      <c r="N5" s="86">
        <v>2</v>
      </c>
      <c r="O5" s="87">
        <f t="shared" si="0"/>
        <v>0.17651753833228315</v>
      </c>
      <c r="P5" s="87">
        <f t="shared" si="1"/>
        <v>4.4528460407477426E-2</v>
      </c>
      <c r="Q5" s="88"/>
    </row>
    <row r="6" spans="1:20" x14ac:dyDescent="0.2">
      <c r="A6" s="75"/>
      <c r="B6" s="70" t="s">
        <v>44</v>
      </c>
      <c r="C6" s="89">
        <v>0.95340000000000003</v>
      </c>
      <c r="D6" s="90"/>
      <c r="E6" s="70" t="s">
        <v>45</v>
      </c>
      <c r="F6" s="91">
        <f>SQRT(1-C6^2)*F5</f>
        <v>14.572554250768807</v>
      </c>
      <c r="G6" s="36"/>
      <c r="H6" s="75"/>
      <c r="I6" s="85" t="s">
        <v>94</v>
      </c>
      <c r="J6" s="85" t="s">
        <v>93</v>
      </c>
      <c r="K6" s="86">
        <v>1.9416929216551148E-2</v>
      </c>
      <c r="L6" s="86">
        <v>4.8981306448225171E-3</v>
      </c>
      <c r="M6" s="86">
        <v>1.974340186382135E-4</v>
      </c>
      <c r="N6" s="86">
        <v>3</v>
      </c>
      <c r="O6" s="87">
        <f t="shared" si="0"/>
        <v>0.17475236294896032</v>
      </c>
      <c r="P6" s="87">
        <f t="shared" si="1"/>
        <v>4.4083175803402652E-2</v>
      </c>
      <c r="Q6" s="88"/>
    </row>
    <row r="7" spans="1:20" x14ac:dyDescent="0.2">
      <c r="A7" s="75"/>
      <c r="B7" s="70" t="s">
        <v>46</v>
      </c>
      <c r="C7" s="89">
        <v>-0.95340000000000003</v>
      </c>
      <c r="D7" s="90"/>
      <c r="E7" s="70" t="s">
        <v>47</v>
      </c>
      <c r="F7" s="91">
        <f>-SQRT(1-C7^2)*F5</f>
        <v>-14.572554250768807</v>
      </c>
      <c r="G7" s="36"/>
      <c r="H7" s="75"/>
      <c r="I7" s="85" t="s">
        <v>93</v>
      </c>
      <c r="J7" s="85" t="s">
        <v>92</v>
      </c>
      <c r="K7" s="86">
        <v>1.7651753833228315E-2</v>
      </c>
      <c r="L7" s="86">
        <v>4.4528460407477419E-3</v>
      </c>
      <c r="M7" s="86">
        <v>1.7948547148928501E-4</v>
      </c>
      <c r="N7" s="86">
        <v>4</v>
      </c>
      <c r="O7" s="87">
        <f t="shared" si="0"/>
        <v>0.28242806133165305</v>
      </c>
      <c r="P7" s="87">
        <f t="shared" si="1"/>
        <v>7.124553665196387E-2</v>
      </c>
      <c r="Q7" s="88"/>
    </row>
    <row r="8" spans="1:20" x14ac:dyDescent="0.2">
      <c r="A8" s="75"/>
      <c r="B8" s="92" t="s">
        <v>48</v>
      </c>
      <c r="C8" s="89">
        <v>23</v>
      </c>
      <c r="D8" s="90"/>
      <c r="E8" s="70"/>
      <c r="F8" s="93"/>
      <c r="G8" s="36"/>
      <c r="H8" s="75"/>
      <c r="I8" s="85" t="s">
        <v>92</v>
      </c>
      <c r="J8" s="85" t="s">
        <v>91</v>
      </c>
      <c r="K8" s="86">
        <v>1.9416929216551148E-2</v>
      </c>
      <c r="L8" s="86">
        <v>4.8981306448225171E-3</v>
      </c>
      <c r="M8" s="86">
        <v>1.974340186382135E-4</v>
      </c>
      <c r="N8" s="86">
        <v>5</v>
      </c>
      <c r="O8" s="87">
        <f t="shared" si="0"/>
        <v>0.48542323041377872</v>
      </c>
      <c r="P8" s="87">
        <f t="shared" si="1"/>
        <v>0.12245326612056293</v>
      </c>
      <c r="Q8" s="88"/>
    </row>
    <row r="9" spans="1:20" x14ac:dyDescent="0.2">
      <c r="A9" s="75"/>
      <c r="B9" s="36"/>
      <c r="C9" s="36"/>
      <c r="D9" s="90"/>
      <c r="E9" s="70"/>
      <c r="F9" s="93"/>
      <c r="G9" s="36"/>
      <c r="H9" s="75"/>
      <c r="I9" s="85" t="s">
        <v>91</v>
      </c>
      <c r="J9" s="85" t="s">
        <v>90</v>
      </c>
      <c r="K9" s="86">
        <v>3.780718336483932E-3</v>
      </c>
      <c r="L9" s="86">
        <v>3.5286704473850034E-3</v>
      </c>
      <c r="M9" s="86">
        <v>2.961510279863483E-4</v>
      </c>
      <c r="N9" s="86">
        <v>6</v>
      </c>
      <c r="O9" s="87">
        <f t="shared" si="0"/>
        <v>0.13610586011342155</v>
      </c>
      <c r="P9" s="87">
        <f t="shared" si="1"/>
        <v>0.12703213610586012</v>
      </c>
      <c r="Q9" s="88"/>
    </row>
    <row r="10" spans="1:20" x14ac:dyDescent="0.2">
      <c r="A10" s="75"/>
      <c r="B10" s="77" t="s">
        <v>49</v>
      </c>
      <c r="C10" s="70"/>
      <c r="D10" s="90"/>
      <c r="E10" s="36"/>
      <c r="F10" s="36"/>
      <c r="G10" s="94"/>
      <c r="H10" s="75"/>
      <c r="I10" s="85" t="s">
        <v>90</v>
      </c>
      <c r="J10" s="85" t="s">
        <v>114</v>
      </c>
      <c r="K10" s="86">
        <v>9.0737240075614359E-3</v>
      </c>
      <c r="L10" s="86">
        <v>8.4688090737240086E-3</v>
      </c>
      <c r="M10" s="86">
        <v>7.1076246716723587E-4</v>
      </c>
      <c r="N10" s="86">
        <v>7</v>
      </c>
      <c r="O10" s="87">
        <f t="shared" si="0"/>
        <v>0.44461247637051038</v>
      </c>
      <c r="P10" s="87">
        <f t="shared" si="1"/>
        <v>0.41497164461247643</v>
      </c>
      <c r="Q10" s="88"/>
    </row>
    <row r="11" spans="1:20" x14ac:dyDescent="0.2">
      <c r="A11" s="75"/>
      <c r="B11" s="70" t="s">
        <v>50</v>
      </c>
      <c r="C11" s="89">
        <v>0.6</v>
      </c>
      <c r="D11" s="94" t="s">
        <v>13</v>
      </c>
      <c r="E11" s="70" t="s">
        <v>51</v>
      </c>
      <c r="F11" s="95">
        <f>+C13*C8</f>
        <v>51.75</v>
      </c>
      <c r="G11" s="94"/>
      <c r="H11" s="75"/>
      <c r="I11" s="85" t="s">
        <v>108</v>
      </c>
      <c r="J11" s="85" t="s">
        <v>107</v>
      </c>
      <c r="K11" s="86">
        <v>2.1182104599873977E-2</v>
      </c>
      <c r="L11" s="86">
        <v>5.3434152488972897E-3</v>
      </c>
      <c r="M11" s="86">
        <v>2.1538256578714201E-4</v>
      </c>
      <c r="N11" s="86">
        <v>1</v>
      </c>
      <c r="O11" s="87">
        <f t="shared" si="0"/>
        <v>2.1182104599873977E-2</v>
      </c>
      <c r="P11" s="87">
        <f t="shared" si="1"/>
        <v>5.3434152488972897E-3</v>
      </c>
      <c r="Q11" s="88"/>
    </row>
    <row r="12" spans="1:20" x14ac:dyDescent="0.2">
      <c r="A12" s="75"/>
      <c r="B12" s="70" t="s">
        <v>52</v>
      </c>
      <c r="C12" s="89">
        <v>34.5</v>
      </c>
      <c r="D12" s="94" t="s">
        <v>13</v>
      </c>
      <c r="E12" s="70" t="s">
        <v>53</v>
      </c>
      <c r="F12" s="96">
        <f>(+C14)/(C13*C8)</f>
        <v>0.11594202898550725</v>
      </c>
      <c r="G12" s="36"/>
      <c r="H12" s="75"/>
      <c r="I12" s="85" t="s">
        <v>107</v>
      </c>
      <c r="J12" s="85" t="s">
        <v>106</v>
      </c>
      <c r="K12" s="86">
        <v>1.9416929216551148E-2</v>
      </c>
      <c r="L12" s="86">
        <v>4.8981306448225171E-3</v>
      </c>
      <c r="M12" s="86">
        <v>1.974340186382135E-4</v>
      </c>
      <c r="N12" s="86">
        <v>2</v>
      </c>
      <c r="O12" s="87">
        <f t="shared" si="0"/>
        <v>7.7667716866204592E-2</v>
      </c>
      <c r="P12" s="87">
        <f t="shared" si="1"/>
        <v>1.9592522579290068E-2</v>
      </c>
      <c r="Q12" s="88"/>
      <c r="R12" s="88"/>
      <c r="S12" s="88"/>
    </row>
    <row r="13" spans="1:20" x14ac:dyDescent="0.2">
      <c r="A13" s="75"/>
      <c r="B13" s="70" t="s">
        <v>51</v>
      </c>
      <c r="C13" s="89">
        <v>2.25</v>
      </c>
      <c r="D13" s="90"/>
      <c r="E13" s="70" t="s">
        <v>36</v>
      </c>
      <c r="F13" s="97">
        <f>SQRT(F12^2*(1/(C15^2+1)))</f>
        <v>1.1536663074898425E-2</v>
      </c>
      <c r="G13" s="36"/>
      <c r="H13" s="98"/>
      <c r="I13" s="85" t="s">
        <v>106</v>
      </c>
      <c r="J13" s="85" t="s">
        <v>114</v>
      </c>
      <c r="K13" s="86">
        <v>3.5303507666456631E-2</v>
      </c>
      <c r="L13" s="86">
        <v>8.9056920814954837E-3</v>
      </c>
      <c r="M13" s="86">
        <v>3.5897094297857003E-4</v>
      </c>
      <c r="N13" s="86">
        <v>3</v>
      </c>
      <c r="O13" s="87">
        <f t="shared" si="0"/>
        <v>0.31773156899810967</v>
      </c>
      <c r="P13" s="87">
        <f t="shared" si="1"/>
        <v>8.0151228733459354E-2</v>
      </c>
      <c r="Q13" s="88"/>
      <c r="R13" s="88"/>
      <c r="S13" s="88"/>
    </row>
    <row r="14" spans="1:20" x14ac:dyDescent="0.2">
      <c r="A14" s="75"/>
      <c r="B14" s="70" t="s">
        <v>54</v>
      </c>
      <c r="C14" s="89">
        <v>6</v>
      </c>
      <c r="D14" s="90" t="s">
        <v>55</v>
      </c>
      <c r="E14" s="70" t="s">
        <v>37</v>
      </c>
      <c r="F14" s="97">
        <f>SQRT(F12^2*(C15^2/(1+C15^2)))</f>
        <v>0.11536663074898425</v>
      </c>
      <c r="G14" s="36"/>
      <c r="H14" s="98"/>
      <c r="I14" s="85" t="s">
        <v>114</v>
      </c>
      <c r="J14" s="85" t="s">
        <v>113</v>
      </c>
      <c r="K14" s="86">
        <v>6.8220961982776726E-3</v>
      </c>
      <c r="L14" s="86">
        <v>9.2585591262339846E-3</v>
      </c>
      <c r="M14" s="86">
        <v>1.1190919226671809E-3</v>
      </c>
      <c r="N14" s="86">
        <v>10</v>
      </c>
      <c r="O14" s="87">
        <f t="shared" si="0"/>
        <v>0.68220961982776729</v>
      </c>
      <c r="P14" s="87">
        <f t="shared" si="1"/>
        <v>0.9258559126233985</v>
      </c>
      <c r="Q14" s="88"/>
      <c r="R14" s="88"/>
      <c r="S14" s="88"/>
    </row>
    <row r="15" spans="1:20" x14ac:dyDescent="0.2">
      <c r="A15" s="75"/>
      <c r="B15" s="70" t="s">
        <v>56</v>
      </c>
      <c r="C15" s="89">
        <v>10</v>
      </c>
      <c r="D15" s="90"/>
      <c r="E15" s="36"/>
      <c r="F15" s="36"/>
      <c r="G15" s="36"/>
      <c r="H15" s="75"/>
      <c r="I15" s="85" t="s">
        <v>98</v>
      </c>
      <c r="J15" s="85" t="s">
        <v>113</v>
      </c>
      <c r="K15" s="86">
        <v>1.5886578449905483E-2</v>
      </c>
      <c r="L15" s="86">
        <v>4.0075614366729675E-3</v>
      </c>
      <c r="M15" s="86">
        <v>1.615369243403565E-4</v>
      </c>
      <c r="N15" s="86">
        <v>1</v>
      </c>
      <c r="O15" s="87">
        <f t="shared" si="0"/>
        <v>1.5886578449905483E-2</v>
      </c>
      <c r="P15" s="87">
        <f t="shared" si="1"/>
        <v>4.0075614366729675E-3</v>
      </c>
      <c r="Q15" s="88"/>
    </row>
    <row r="16" spans="1:20" x14ac:dyDescent="0.2">
      <c r="A16" s="75"/>
      <c r="B16" s="36"/>
      <c r="C16" s="36"/>
      <c r="D16" s="36"/>
      <c r="E16" s="36"/>
      <c r="F16" s="36"/>
      <c r="G16" s="94"/>
      <c r="H16" s="75"/>
      <c r="I16" s="85" t="s">
        <v>113</v>
      </c>
      <c r="J16" s="85" t="s">
        <v>85</v>
      </c>
      <c r="K16" s="86">
        <v>1.0115521949170342E-2</v>
      </c>
      <c r="L16" s="86">
        <v>1.3728208359588321E-2</v>
      </c>
      <c r="M16" s="86">
        <v>1.6593431956789236E-3</v>
      </c>
      <c r="N16" s="86">
        <v>11</v>
      </c>
      <c r="O16" s="87">
        <f t="shared" si="0"/>
        <v>1.2239781558496114</v>
      </c>
      <c r="P16" s="87">
        <f t="shared" si="1"/>
        <v>1.661113211510187</v>
      </c>
      <c r="Q16" s="88"/>
      <c r="R16" s="72" t="s">
        <v>57</v>
      </c>
      <c r="S16" s="99" t="s">
        <v>58</v>
      </c>
      <c r="T16" s="100"/>
    </row>
    <row r="17" spans="1:21" x14ac:dyDescent="0.2">
      <c r="A17" s="75"/>
      <c r="B17" s="77" t="s">
        <v>59</v>
      </c>
      <c r="C17" s="70"/>
      <c r="D17" s="90"/>
      <c r="E17" s="70"/>
      <c r="F17" s="70"/>
      <c r="G17" s="36"/>
      <c r="H17" s="75"/>
      <c r="I17" s="85" t="s">
        <v>95</v>
      </c>
      <c r="J17" s="85" t="s">
        <v>96</v>
      </c>
      <c r="K17" s="86">
        <v>2.6477630749842475E-2</v>
      </c>
      <c r="L17" s="86">
        <v>6.6792690611216137E-3</v>
      </c>
      <c r="M17" s="86">
        <v>2.6922820723392749E-4</v>
      </c>
      <c r="N17" s="86">
        <v>1</v>
      </c>
      <c r="O17" s="87">
        <f t="shared" si="0"/>
        <v>2.6477630749842475E-2</v>
      </c>
      <c r="P17" s="87">
        <f t="shared" si="1"/>
        <v>6.6792690611216137E-3</v>
      </c>
      <c r="Q17" s="88"/>
      <c r="R17" s="101">
        <f>SUM(O4:O177)</f>
        <v>8.9665696282293652</v>
      </c>
      <c r="S17" s="101">
        <f>SUM(P4:P177)</f>
        <v>8.2355975635370715</v>
      </c>
      <c r="T17" s="36"/>
    </row>
    <row r="18" spans="1:21" x14ac:dyDescent="0.2">
      <c r="A18" s="75"/>
      <c r="B18" s="70" t="s">
        <v>51</v>
      </c>
      <c r="C18" s="102">
        <v>70</v>
      </c>
      <c r="D18" s="90" t="s">
        <v>60</v>
      </c>
      <c r="E18" s="70" t="s">
        <v>51</v>
      </c>
      <c r="F18" s="95">
        <f>+C20</f>
        <v>117</v>
      </c>
      <c r="G18" s="94"/>
      <c r="H18" s="75"/>
      <c r="I18" s="85" t="s">
        <v>96</v>
      </c>
      <c r="J18" s="85" t="s">
        <v>97</v>
      </c>
      <c r="K18" s="86">
        <v>2.6477630749842475E-2</v>
      </c>
      <c r="L18" s="86">
        <v>6.6792690611216137E-3</v>
      </c>
      <c r="M18" s="86">
        <v>2.6922820723392749E-4</v>
      </c>
      <c r="N18" s="86">
        <v>2</v>
      </c>
      <c r="O18" s="87">
        <f t="shared" si="0"/>
        <v>0.1059105229993699</v>
      </c>
      <c r="P18" s="87">
        <f t="shared" si="1"/>
        <v>2.6717076244486455E-2</v>
      </c>
      <c r="Q18" s="88"/>
    </row>
    <row r="19" spans="1:21" x14ac:dyDescent="0.2">
      <c r="A19" s="75"/>
      <c r="B19" s="70" t="s">
        <v>51</v>
      </c>
      <c r="C19" s="102">
        <v>93</v>
      </c>
      <c r="D19" s="90" t="s">
        <v>61</v>
      </c>
      <c r="E19" s="70" t="s">
        <v>53</v>
      </c>
      <c r="F19" s="103">
        <f>+C21/C18</f>
        <v>8.5714285714285715E-2</v>
      </c>
      <c r="G19" s="36"/>
      <c r="H19" s="75"/>
      <c r="I19" s="85" t="s">
        <v>97</v>
      </c>
      <c r="J19" s="85" t="s">
        <v>86</v>
      </c>
      <c r="K19" s="86">
        <v>2.294727998319681E-2</v>
      </c>
      <c r="L19" s="86">
        <v>5.788699852972065E-3</v>
      </c>
      <c r="M19" s="86">
        <v>2.333311129360705E-4</v>
      </c>
      <c r="N19" s="86">
        <v>3</v>
      </c>
      <c r="O19" s="87">
        <f t="shared" si="0"/>
        <v>0.20652551984877129</v>
      </c>
      <c r="P19" s="87">
        <f t="shared" si="1"/>
        <v>5.2098298676748582E-2</v>
      </c>
      <c r="Q19" s="88"/>
      <c r="R19" s="99" t="s">
        <v>62</v>
      </c>
      <c r="S19" s="88"/>
    </row>
    <row r="20" spans="1:21" x14ac:dyDescent="0.2">
      <c r="A20" s="75"/>
      <c r="B20" s="70" t="s">
        <v>51</v>
      </c>
      <c r="C20" s="102">
        <v>117</v>
      </c>
      <c r="D20" s="90" t="s">
        <v>63</v>
      </c>
      <c r="E20" s="70" t="s">
        <v>36</v>
      </c>
      <c r="F20" s="104">
        <f>SQRT(F19^2*(1/(C22^2+1)))</f>
        <v>1.6809954440415775E-2</v>
      </c>
      <c r="G20" s="36"/>
      <c r="H20" s="75"/>
      <c r="I20" s="85" t="s">
        <v>86</v>
      </c>
      <c r="J20" s="85" t="s">
        <v>87</v>
      </c>
      <c r="K20" s="86">
        <v>1.4128124343625289E-2</v>
      </c>
      <c r="L20" s="86">
        <v>6.4524259609325778E-3</v>
      </c>
      <c r="M20" s="86">
        <v>3.5179152414287061E-4</v>
      </c>
      <c r="N20" s="86">
        <v>4</v>
      </c>
      <c r="O20" s="87">
        <f t="shared" si="0"/>
        <v>0.22604998949800462</v>
      </c>
      <c r="P20" s="87">
        <f t="shared" si="1"/>
        <v>0.10323881537492124</v>
      </c>
      <c r="Q20" s="88"/>
      <c r="R20" s="72" t="s">
        <v>64</v>
      </c>
    </row>
    <row r="21" spans="1:21" x14ac:dyDescent="0.2">
      <c r="A21" s="75"/>
      <c r="B21" s="70" t="s">
        <v>65</v>
      </c>
      <c r="C21" s="102">
        <v>6</v>
      </c>
      <c r="D21" s="90" t="s">
        <v>66</v>
      </c>
      <c r="E21" s="70" t="s">
        <v>37</v>
      </c>
      <c r="F21" s="104">
        <f>SQRT(F19^2*(C22^2/(1+C22^2)))</f>
        <v>8.4049772202078876E-2</v>
      </c>
      <c r="G21" s="36"/>
      <c r="H21" s="75"/>
      <c r="I21" s="85" t="s">
        <v>87</v>
      </c>
      <c r="J21" s="85" t="s">
        <v>110</v>
      </c>
      <c r="K21" s="86">
        <v>1.4569628229363578E-2</v>
      </c>
      <c r="L21" s="86">
        <v>6.6540642722117196E-3</v>
      </c>
      <c r="M21" s="86">
        <v>3.627850092723353E-4</v>
      </c>
      <c r="N21" s="86">
        <v>5</v>
      </c>
      <c r="O21" s="87">
        <f t="shared" si="0"/>
        <v>0.36424070573408945</v>
      </c>
      <c r="P21" s="87">
        <f t="shared" si="1"/>
        <v>0.16635160680529298</v>
      </c>
      <c r="Q21" s="88"/>
      <c r="R21" s="103" t="s">
        <v>36</v>
      </c>
      <c r="S21" s="96">
        <f>+R17/$C8^2</f>
        <v>1.6950037104403338E-2</v>
      </c>
    </row>
    <row r="22" spans="1:21" x14ac:dyDescent="0.2">
      <c r="A22" s="75"/>
      <c r="B22" s="70" t="s">
        <v>56</v>
      </c>
      <c r="C22" s="102">
        <v>5</v>
      </c>
      <c r="D22" s="90"/>
      <c r="E22" s="36"/>
      <c r="F22" s="36"/>
      <c r="G22" s="68"/>
      <c r="H22" s="75"/>
      <c r="I22" s="85" t="s">
        <v>110</v>
      </c>
      <c r="J22" s="85" t="s">
        <v>116</v>
      </c>
      <c r="K22" s="86">
        <v>9.7130854862423864E-3</v>
      </c>
      <c r="L22" s="86">
        <v>4.436042848141147E-3</v>
      </c>
      <c r="M22" s="86">
        <v>2.4185667284822354E-4</v>
      </c>
      <c r="N22" s="86">
        <v>6</v>
      </c>
      <c r="O22" s="87">
        <f t="shared" si="0"/>
        <v>0.34967107750472592</v>
      </c>
      <c r="P22" s="87">
        <f t="shared" si="1"/>
        <v>0.1596975425330813</v>
      </c>
      <c r="Q22" s="88"/>
      <c r="R22" s="103" t="s">
        <v>37</v>
      </c>
      <c r="S22" s="96">
        <f>+S17/$C8^2</f>
        <v>1.55682373601835E-2</v>
      </c>
    </row>
    <row r="23" spans="1:21" x14ac:dyDescent="0.2">
      <c r="A23" s="75"/>
      <c r="B23" s="70"/>
      <c r="C23" s="70"/>
      <c r="D23" s="70"/>
      <c r="E23" s="36"/>
      <c r="F23" s="36"/>
      <c r="G23" s="105"/>
      <c r="H23" s="75"/>
      <c r="I23" s="85" t="s">
        <v>109</v>
      </c>
      <c r="J23" s="85" t="s">
        <v>116</v>
      </c>
      <c r="K23" s="86">
        <v>2.6477630749842475E-2</v>
      </c>
      <c r="L23" s="86">
        <v>6.6792690611216137E-3</v>
      </c>
      <c r="M23" s="86">
        <v>2.6922820723392749E-4</v>
      </c>
      <c r="N23" s="86">
        <v>1</v>
      </c>
      <c r="O23" s="87">
        <f t="shared" si="0"/>
        <v>2.6477630749842475E-2</v>
      </c>
      <c r="P23" s="87">
        <f t="shared" si="1"/>
        <v>6.6792690611216137E-3</v>
      </c>
      <c r="Q23" s="88"/>
      <c r="R23" s="103" t="s">
        <v>25</v>
      </c>
      <c r="S23" s="96">
        <f>SUM(M4:M177)</f>
        <v>1.2977023984149638E-2</v>
      </c>
    </row>
    <row r="24" spans="1:21" x14ac:dyDescent="0.2">
      <c r="A24" s="75"/>
      <c r="B24" s="77" t="s">
        <v>67</v>
      </c>
      <c r="C24" s="36"/>
      <c r="D24" s="36"/>
      <c r="E24" s="36"/>
      <c r="F24" s="36"/>
      <c r="G24" s="36"/>
      <c r="H24" s="75"/>
      <c r="I24" s="85" t="s">
        <v>116</v>
      </c>
      <c r="J24" s="85" t="s">
        <v>115</v>
      </c>
      <c r="K24" s="86">
        <v>2.3629489603024575E-2</v>
      </c>
      <c r="L24" s="86">
        <v>2.2054190296156271E-2</v>
      </c>
      <c r="M24" s="86">
        <v>1.8509439249146768E-3</v>
      </c>
      <c r="N24" s="86">
        <v>7</v>
      </c>
      <c r="O24" s="87">
        <f t="shared" si="0"/>
        <v>1.1578449905482042</v>
      </c>
      <c r="P24" s="87">
        <f t="shared" si="1"/>
        <v>1.0806553245116572</v>
      </c>
      <c r="Q24" s="88"/>
    </row>
    <row r="25" spans="1:21" x14ac:dyDescent="0.2">
      <c r="A25" s="75"/>
      <c r="B25" s="36"/>
      <c r="C25" s="36"/>
      <c r="D25" s="36"/>
      <c r="E25" s="36"/>
      <c r="F25" s="36"/>
      <c r="G25" s="105"/>
      <c r="H25" s="75"/>
      <c r="I25" s="85" t="s">
        <v>105</v>
      </c>
      <c r="J25" s="85" t="s">
        <v>104</v>
      </c>
      <c r="K25" s="86">
        <v>1.5886578449905483E-2</v>
      </c>
      <c r="L25" s="86">
        <v>4.0075614366729675E-3</v>
      </c>
      <c r="M25" s="86">
        <v>1.615369243403565E-4</v>
      </c>
      <c r="N25" s="86">
        <v>1</v>
      </c>
      <c r="O25" s="87">
        <f t="shared" si="0"/>
        <v>1.5886578449905483E-2</v>
      </c>
      <c r="P25" s="87">
        <f t="shared" si="1"/>
        <v>4.0075614366729675E-3</v>
      </c>
    </row>
    <row r="26" spans="1:21" x14ac:dyDescent="0.2">
      <c r="A26" s="75"/>
      <c r="B26" s="106" t="s">
        <v>68</v>
      </c>
      <c r="C26" s="68"/>
      <c r="D26" s="36"/>
      <c r="E26" s="107" t="s">
        <v>69</v>
      </c>
      <c r="F26" s="105"/>
      <c r="G26" s="105"/>
      <c r="H26" s="75"/>
      <c r="I26" s="85" t="s">
        <v>104</v>
      </c>
      <c r="J26" s="85" t="s">
        <v>100</v>
      </c>
      <c r="K26" s="86">
        <v>1.6769166141566899E-2</v>
      </c>
      <c r="L26" s="86">
        <v>4.2302037387103551E-3</v>
      </c>
      <c r="M26" s="86">
        <v>1.7051119791482074E-4</v>
      </c>
      <c r="N26" s="86">
        <v>2</v>
      </c>
      <c r="O26" s="87">
        <f t="shared" si="0"/>
        <v>6.7076664566267596E-2</v>
      </c>
      <c r="P26" s="87">
        <f t="shared" si="1"/>
        <v>1.6920814954841421E-2</v>
      </c>
      <c r="Q26" s="88"/>
      <c r="R26" s="108" t="s">
        <v>70</v>
      </c>
      <c r="S26" s="108"/>
      <c r="T26" s="109"/>
      <c r="U26" s="109"/>
    </row>
    <row r="27" spans="1:21" x14ac:dyDescent="0.2">
      <c r="A27" s="75"/>
      <c r="B27" s="110" t="s">
        <v>71</v>
      </c>
      <c r="C27" s="111"/>
      <c r="D27" s="36"/>
      <c r="E27" s="110" t="s">
        <v>47</v>
      </c>
      <c r="F27" s="111"/>
      <c r="G27" s="105"/>
      <c r="H27" s="75"/>
      <c r="I27" s="85" t="s">
        <v>100</v>
      </c>
      <c r="J27" s="85" t="s">
        <v>115</v>
      </c>
      <c r="K27" s="86">
        <v>1.0591052299936989E-2</v>
      </c>
      <c r="L27" s="86">
        <v>2.6717076244486449E-3</v>
      </c>
      <c r="M27" s="86">
        <v>1.07691282893571E-4</v>
      </c>
      <c r="N27" s="86">
        <v>3</v>
      </c>
      <c r="O27" s="87">
        <f t="shared" si="0"/>
        <v>9.531947069943289E-2</v>
      </c>
      <c r="P27" s="87">
        <f t="shared" si="1"/>
        <v>2.4045368620037803E-2</v>
      </c>
    </row>
    <row r="28" spans="1:21" x14ac:dyDescent="0.2">
      <c r="A28" s="75"/>
      <c r="B28" s="70" t="s">
        <v>72</v>
      </c>
      <c r="C28" s="111"/>
      <c r="D28" s="36"/>
      <c r="E28" s="112" t="s">
        <v>45</v>
      </c>
      <c r="F28" s="111"/>
      <c r="G28" s="105"/>
      <c r="H28" s="75"/>
      <c r="I28" s="85" t="s">
        <v>101</v>
      </c>
      <c r="J28" s="85" t="s">
        <v>115</v>
      </c>
      <c r="K28" s="86">
        <v>1.5886578449905483E-2</v>
      </c>
      <c r="L28" s="86">
        <v>4.0075614366729675E-3</v>
      </c>
      <c r="M28" s="86">
        <v>1.615369243403565E-4</v>
      </c>
      <c r="N28" s="86">
        <v>1</v>
      </c>
      <c r="O28" s="87">
        <f t="shared" si="0"/>
        <v>1.5886578449905483E-2</v>
      </c>
      <c r="P28" s="87">
        <f t="shared" si="1"/>
        <v>4.0075614366729675E-3</v>
      </c>
      <c r="Q28" s="88"/>
      <c r="R28" s="136" t="s">
        <v>73</v>
      </c>
      <c r="S28" s="136"/>
      <c r="T28" s="136"/>
      <c r="U28" s="136"/>
    </row>
    <row r="29" spans="1:21" x14ac:dyDescent="0.2">
      <c r="A29" s="75"/>
      <c r="B29" s="36"/>
      <c r="C29" s="36"/>
      <c r="D29" s="36"/>
      <c r="E29" s="105"/>
      <c r="F29" s="105"/>
      <c r="G29" s="113"/>
      <c r="H29" s="75"/>
      <c r="I29" s="85" t="s">
        <v>115</v>
      </c>
      <c r="J29" s="85" t="s">
        <v>99</v>
      </c>
      <c r="K29" s="86">
        <v>2.1172022684310021E-3</v>
      </c>
      <c r="L29" s="86">
        <v>2.8733459357277885E-3</v>
      </c>
      <c r="M29" s="86">
        <v>3.4730438979326309E-4</v>
      </c>
      <c r="N29" s="86">
        <v>11</v>
      </c>
      <c r="O29" s="87">
        <f t="shared" si="0"/>
        <v>0.25618147448015127</v>
      </c>
      <c r="P29" s="87">
        <f t="shared" si="1"/>
        <v>0.34767485822306238</v>
      </c>
    </row>
    <row r="30" spans="1:21" x14ac:dyDescent="0.2">
      <c r="A30" s="75"/>
      <c r="B30" s="137" t="s">
        <v>74</v>
      </c>
      <c r="C30" s="138"/>
      <c r="D30" s="138"/>
      <c r="E30" s="138"/>
      <c r="F30" s="138"/>
      <c r="G30" s="139"/>
      <c r="H30" s="75"/>
      <c r="I30" s="85" t="s">
        <v>99</v>
      </c>
      <c r="J30" s="85" t="s">
        <v>85</v>
      </c>
      <c r="K30" s="86">
        <v>1.387943709304768E-2</v>
      </c>
      <c r="L30" s="86">
        <v>1.883637891199328E-2</v>
      </c>
      <c r="M30" s="86">
        <v>2.2767732219780576E-3</v>
      </c>
      <c r="N30" s="86">
        <v>12</v>
      </c>
      <c r="O30" s="87">
        <f t="shared" si="0"/>
        <v>1.9986389413988659</v>
      </c>
      <c r="P30" s="87">
        <f t="shared" si="1"/>
        <v>2.7124385633270323</v>
      </c>
      <c r="Q30" s="100"/>
    </row>
    <row r="31" spans="1:21" ht="13.15" customHeight="1" x14ac:dyDescent="0.2">
      <c r="A31" s="75"/>
      <c r="B31" s="140" t="s">
        <v>75</v>
      </c>
      <c r="C31" s="140"/>
      <c r="D31" s="140"/>
      <c r="E31" s="140"/>
      <c r="F31" s="140"/>
      <c r="G31" s="140"/>
      <c r="H31" s="75"/>
      <c r="I31" s="85"/>
      <c r="J31" s="85"/>
      <c r="K31" s="86"/>
      <c r="L31" s="86"/>
      <c r="M31" s="86"/>
      <c r="N31" s="86"/>
      <c r="O31" s="87">
        <f t="shared" si="0"/>
        <v>0</v>
      </c>
      <c r="P31" s="87">
        <f t="shared" si="1"/>
        <v>0</v>
      </c>
      <c r="R31" s="88"/>
      <c r="S31" s="88"/>
    </row>
    <row r="32" spans="1:21" x14ac:dyDescent="0.2">
      <c r="A32" s="75"/>
      <c r="B32" s="141"/>
      <c r="C32" s="141"/>
      <c r="D32" s="141"/>
      <c r="E32" s="141"/>
      <c r="F32" s="141"/>
      <c r="G32" s="141"/>
      <c r="H32" s="75"/>
      <c r="I32" s="85"/>
      <c r="J32" s="85"/>
      <c r="K32" s="86"/>
      <c r="L32" s="86"/>
      <c r="M32" s="86"/>
      <c r="N32" s="86"/>
      <c r="O32" s="87">
        <f t="shared" si="0"/>
        <v>0</v>
      </c>
      <c r="P32" s="87">
        <f t="shared" si="1"/>
        <v>0</v>
      </c>
    </row>
    <row r="33" spans="1:16" x14ac:dyDescent="0.2">
      <c r="A33" s="75"/>
      <c r="B33" s="141"/>
      <c r="C33" s="141"/>
      <c r="D33" s="141"/>
      <c r="E33" s="141"/>
      <c r="F33" s="141"/>
      <c r="G33" s="141"/>
      <c r="H33" s="75"/>
      <c r="I33" s="85"/>
      <c r="J33" s="85"/>
      <c r="K33" s="86"/>
      <c r="L33" s="86"/>
      <c r="M33" s="86"/>
      <c r="N33" s="86"/>
      <c r="O33" s="87">
        <f t="shared" si="0"/>
        <v>0</v>
      </c>
      <c r="P33" s="87">
        <f t="shared" si="1"/>
        <v>0</v>
      </c>
    </row>
    <row r="34" spans="1:16" ht="13.15" customHeight="1" x14ac:dyDescent="0.2">
      <c r="A34" s="75"/>
      <c r="B34" s="141"/>
      <c r="C34" s="141"/>
      <c r="D34" s="141"/>
      <c r="E34" s="141"/>
      <c r="F34" s="141"/>
      <c r="G34" s="141"/>
      <c r="H34" s="75"/>
      <c r="I34" s="85"/>
      <c r="J34" s="85"/>
      <c r="K34" s="86"/>
      <c r="L34" s="86"/>
      <c r="M34" s="86"/>
      <c r="N34" s="86"/>
      <c r="O34" s="87">
        <f t="shared" si="0"/>
        <v>0</v>
      </c>
      <c r="P34" s="87">
        <f t="shared" si="1"/>
        <v>0</v>
      </c>
    </row>
    <row r="35" spans="1:16" x14ac:dyDescent="0.2">
      <c r="A35" s="75"/>
      <c r="B35" s="141"/>
      <c r="C35" s="141"/>
      <c r="D35" s="141"/>
      <c r="E35" s="141"/>
      <c r="F35" s="141"/>
      <c r="G35" s="141"/>
      <c r="H35" s="75"/>
      <c r="I35" s="85"/>
      <c r="J35" s="85"/>
      <c r="K35" s="86"/>
      <c r="L35" s="86"/>
      <c r="M35" s="86"/>
      <c r="N35" s="86"/>
      <c r="O35" s="87">
        <f t="shared" si="0"/>
        <v>0</v>
      </c>
      <c r="P35" s="87">
        <f t="shared" si="1"/>
        <v>0</v>
      </c>
    </row>
    <row r="36" spans="1:16" x14ac:dyDescent="0.2">
      <c r="A36" s="75"/>
      <c r="B36" s="141"/>
      <c r="C36" s="141"/>
      <c r="D36" s="141"/>
      <c r="E36" s="141"/>
      <c r="F36" s="141"/>
      <c r="G36" s="141"/>
      <c r="H36" s="75"/>
      <c r="I36" s="85"/>
      <c r="J36" s="85"/>
      <c r="K36" s="86"/>
      <c r="L36" s="86"/>
      <c r="M36" s="86"/>
      <c r="N36" s="86"/>
      <c r="O36" s="87">
        <f t="shared" ref="O36:O67" si="2">+K36*N36^2</f>
        <v>0</v>
      </c>
      <c r="P36" s="87">
        <f t="shared" ref="P36:P67" si="3">+L36*N36^2</f>
        <v>0</v>
      </c>
    </row>
    <row r="37" spans="1:16" x14ac:dyDescent="0.2">
      <c r="A37" s="75"/>
      <c r="B37" s="142"/>
      <c r="C37" s="142"/>
      <c r="D37" s="142"/>
      <c r="E37" s="142"/>
      <c r="F37" s="142"/>
      <c r="G37" s="142"/>
      <c r="H37" s="75"/>
      <c r="I37" s="85"/>
      <c r="J37" s="85"/>
      <c r="K37" s="86"/>
      <c r="L37" s="86"/>
      <c r="M37" s="86"/>
      <c r="N37" s="86"/>
      <c r="O37" s="87">
        <f t="shared" si="2"/>
        <v>0</v>
      </c>
      <c r="P37" s="87">
        <f t="shared" si="3"/>
        <v>0</v>
      </c>
    </row>
    <row r="38" spans="1:16" x14ac:dyDescent="0.2">
      <c r="A38" s="75"/>
      <c r="B38" s="75"/>
      <c r="C38" s="75"/>
      <c r="D38" s="75"/>
      <c r="E38" s="75"/>
      <c r="F38" s="75"/>
      <c r="G38" s="75"/>
      <c r="H38" s="75"/>
      <c r="I38" s="85"/>
      <c r="J38" s="85"/>
      <c r="K38" s="86"/>
      <c r="L38" s="86"/>
      <c r="M38" s="86"/>
      <c r="N38" s="86"/>
      <c r="O38" s="87">
        <f t="shared" si="2"/>
        <v>0</v>
      </c>
      <c r="P38" s="87">
        <f t="shared" si="3"/>
        <v>0</v>
      </c>
    </row>
    <row r="39" spans="1:16" x14ac:dyDescent="0.2">
      <c r="A39" s="75"/>
      <c r="B39" s="75"/>
      <c r="C39" s="75"/>
      <c r="D39" s="75"/>
      <c r="E39" s="75"/>
      <c r="F39" s="75"/>
      <c r="G39" s="75"/>
      <c r="H39" s="75"/>
      <c r="I39" s="85"/>
      <c r="J39" s="85"/>
      <c r="K39" s="86"/>
      <c r="L39" s="86"/>
      <c r="M39" s="86"/>
      <c r="N39" s="86"/>
      <c r="O39" s="87">
        <f t="shared" si="2"/>
        <v>0</v>
      </c>
      <c r="P39" s="87">
        <f t="shared" si="3"/>
        <v>0</v>
      </c>
    </row>
    <row r="40" spans="1:16" x14ac:dyDescent="0.2">
      <c r="A40" s="75"/>
      <c r="B40" s="75"/>
      <c r="C40" s="75"/>
      <c r="D40" s="75"/>
      <c r="E40" s="75"/>
      <c r="F40" s="75"/>
      <c r="G40" s="75"/>
      <c r="H40" s="75"/>
      <c r="I40" s="85"/>
      <c r="J40" s="85"/>
      <c r="K40" s="86"/>
      <c r="L40" s="86"/>
      <c r="M40" s="86"/>
      <c r="N40" s="86"/>
      <c r="O40" s="87">
        <f t="shared" si="2"/>
        <v>0</v>
      </c>
      <c r="P40" s="87">
        <f t="shared" si="3"/>
        <v>0</v>
      </c>
    </row>
    <row r="41" spans="1:16" x14ac:dyDescent="0.2">
      <c r="A41" s="75"/>
      <c r="B41" s="75"/>
      <c r="C41" s="75"/>
      <c r="D41" s="75"/>
      <c r="E41" s="75"/>
      <c r="F41" s="75"/>
      <c r="G41" s="75"/>
      <c r="H41" s="75"/>
      <c r="I41" s="85"/>
      <c r="J41" s="85"/>
      <c r="K41" s="86"/>
      <c r="L41" s="86"/>
      <c r="M41" s="86"/>
      <c r="N41" s="86"/>
      <c r="O41" s="87">
        <f t="shared" si="2"/>
        <v>0</v>
      </c>
      <c r="P41" s="87">
        <f t="shared" si="3"/>
        <v>0</v>
      </c>
    </row>
    <row r="42" spans="1:16" x14ac:dyDescent="0.2">
      <c r="A42" s="75"/>
      <c r="B42" s="75"/>
      <c r="C42" s="75"/>
      <c r="D42" s="75"/>
      <c r="E42" s="75"/>
      <c r="F42" s="75"/>
      <c r="G42" s="75"/>
      <c r="H42" s="75"/>
      <c r="I42" s="85"/>
      <c r="J42" s="85"/>
      <c r="K42" s="86"/>
      <c r="L42" s="86"/>
      <c r="M42" s="86"/>
      <c r="N42" s="86"/>
      <c r="O42" s="87">
        <f t="shared" si="2"/>
        <v>0</v>
      </c>
      <c r="P42" s="87">
        <f t="shared" si="3"/>
        <v>0</v>
      </c>
    </row>
    <row r="43" spans="1:16" x14ac:dyDescent="0.2">
      <c r="A43" s="75"/>
      <c r="B43" s="75"/>
      <c r="C43" s="75"/>
      <c r="D43" s="75"/>
      <c r="E43" s="75"/>
      <c r="F43" s="75"/>
      <c r="G43" s="75"/>
      <c r="H43" s="75"/>
      <c r="I43" s="85"/>
      <c r="J43" s="85"/>
      <c r="K43" s="86"/>
      <c r="L43" s="86"/>
      <c r="M43" s="86"/>
      <c r="N43" s="86"/>
      <c r="O43" s="87">
        <f t="shared" si="2"/>
        <v>0</v>
      </c>
      <c r="P43" s="87">
        <f t="shared" si="3"/>
        <v>0</v>
      </c>
    </row>
    <row r="44" spans="1:16" x14ac:dyDescent="0.2">
      <c r="A44" s="75"/>
      <c r="B44" s="75"/>
      <c r="C44" s="75"/>
      <c r="D44" s="75"/>
      <c r="E44" s="75"/>
      <c r="F44" s="75"/>
      <c r="G44" s="75"/>
      <c r="H44" s="75"/>
      <c r="I44" s="85"/>
      <c r="J44" s="85"/>
      <c r="K44" s="86"/>
      <c r="L44" s="86"/>
      <c r="M44" s="86"/>
      <c r="N44" s="86"/>
      <c r="O44" s="87">
        <f t="shared" si="2"/>
        <v>0</v>
      </c>
      <c r="P44" s="87">
        <f t="shared" si="3"/>
        <v>0</v>
      </c>
    </row>
    <row r="45" spans="1:16" x14ac:dyDescent="0.2">
      <c r="A45" s="75"/>
      <c r="B45" s="75"/>
      <c r="C45" s="75"/>
      <c r="D45" s="75"/>
      <c r="E45" s="75"/>
      <c r="F45" s="75"/>
      <c r="G45" s="75"/>
      <c r="H45" s="75"/>
      <c r="I45" s="85"/>
      <c r="J45" s="85"/>
      <c r="K45" s="86"/>
      <c r="L45" s="86"/>
      <c r="M45" s="86"/>
      <c r="N45" s="86"/>
      <c r="O45" s="87">
        <f t="shared" si="2"/>
        <v>0</v>
      </c>
      <c r="P45" s="87">
        <f t="shared" si="3"/>
        <v>0</v>
      </c>
    </row>
    <row r="46" spans="1:16" x14ac:dyDescent="0.2">
      <c r="A46" s="75"/>
      <c r="B46" s="75"/>
      <c r="C46" s="75"/>
      <c r="D46" s="75"/>
      <c r="E46" s="75"/>
      <c r="F46" s="75"/>
      <c r="G46" s="75"/>
      <c r="H46" s="75"/>
      <c r="I46" s="85"/>
      <c r="J46" s="85"/>
      <c r="K46" s="86"/>
      <c r="L46" s="86"/>
      <c r="M46" s="86"/>
      <c r="N46" s="86"/>
      <c r="O46" s="87">
        <f t="shared" si="2"/>
        <v>0</v>
      </c>
      <c r="P46" s="87">
        <f t="shared" si="3"/>
        <v>0</v>
      </c>
    </row>
    <row r="47" spans="1:16" x14ac:dyDescent="0.2">
      <c r="A47" s="75"/>
      <c r="B47" s="75"/>
      <c r="C47" s="75"/>
      <c r="D47" s="75"/>
      <c r="E47" s="75"/>
      <c r="F47" s="75"/>
      <c r="G47" s="75"/>
      <c r="H47" s="75"/>
      <c r="I47" s="85"/>
      <c r="J47" s="85"/>
      <c r="K47" s="86"/>
      <c r="L47" s="86"/>
      <c r="M47" s="86"/>
      <c r="N47" s="86"/>
      <c r="O47" s="87">
        <f t="shared" si="2"/>
        <v>0</v>
      </c>
      <c r="P47" s="87">
        <f t="shared" si="3"/>
        <v>0</v>
      </c>
    </row>
    <row r="48" spans="1:16" x14ac:dyDescent="0.2">
      <c r="A48" s="75"/>
      <c r="B48" s="75"/>
      <c r="C48" s="75"/>
      <c r="D48" s="75"/>
      <c r="E48" s="75"/>
      <c r="F48" s="75"/>
      <c r="G48" s="75"/>
      <c r="H48" s="75"/>
      <c r="I48" s="85"/>
      <c r="J48" s="85"/>
      <c r="K48" s="86"/>
      <c r="L48" s="86"/>
      <c r="M48" s="86"/>
      <c r="N48" s="86"/>
      <c r="O48" s="87">
        <f t="shared" si="2"/>
        <v>0</v>
      </c>
      <c r="P48" s="87">
        <f t="shared" si="3"/>
        <v>0</v>
      </c>
    </row>
    <row r="49" spans="1:16" x14ac:dyDescent="0.2">
      <c r="A49" s="75"/>
      <c r="B49" s="75"/>
      <c r="C49" s="75"/>
      <c r="D49" s="75"/>
      <c r="E49" s="75"/>
      <c r="F49" s="75"/>
      <c r="G49" s="75"/>
      <c r="H49" s="75"/>
      <c r="I49" s="85"/>
      <c r="J49" s="85"/>
      <c r="K49" s="86"/>
      <c r="L49" s="86"/>
      <c r="M49" s="86"/>
      <c r="N49" s="86"/>
      <c r="O49" s="87">
        <f t="shared" si="2"/>
        <v>0</v>
      </c>
      <c r="P49" s="87">
        <f t="shared" si="3"/>
        <v>0</v>
      </c>
    </row>
    <row r="50" spans="1:16" x14ac:dyDescent="0.2">
      <c r="A50" s="75"/>
      <c r="B50" s="75"/>
      <c r="C50" s="75"/>
      <c r="D50" s="75"/>
      <c r="E50" s="75"/>
      <c r="F50" s="75"/>
      <c r="G50" s="75"/>
      <c r="H50" s="114"/>
      <c r="I50" s="85"/>
      <c r="J50" s="85"/>
      <c r="K50" s="86"/>
      <c r="L50" s="86"/>
      <c r="M50" s="86"/>
      <c r="N50" s="86"/>
      <c r="O50" s="87">
        <f t="shared" si="2"/>
        <v>0</v>
      </c>
      <c r="P50" s="87">
        <f t="shared" si="3"/>
        <v>0</v>
      </c>
    </row>
    <row r="51" spans="1:16" x14ac:dyDescent="0.2">
      <c r="A51" s="75"/>
      <c r="B51" s="75"/>
      <c r="C51" s="75"/>
      <c r="D51" s="75"/>
      <c r="E51" s="75"/>
      <c r="F51" s="75"/>
      <c r="G51" s="75"/>
      <c r="H51" s="75"/>
      <c r="I51" s="85"/>
      <c r="J51" s="85"/>
      <c r="K51" s="86"/>
      <c r="L51" s="86"/>
      <c r="M51" s="86"/>
      <c r="N51" s="86"/>
      <c r="O51" s="87">
        <f t="shared" si="2"/>
        <v>0</v>
      </c>
      <c r="P51" s="87">
        <f t="shared" si="3"/>
        <v>0</v>
      </c>
    </row>
    <row r="52" spans="1:16" x14ac:dyDescent="0.2">
      <c r="A52" s="75"/>
      <c r="B52" s="75"/>
      <c r="C52" s="75"/>
      <c r="D52" s="75"/>
      <c r="E52" s="75"/>
      <c r="F52" s="75"/>
      <c r="G52" s="75"/>
      <c r="H52" s="75"/>
      <c r="I52" s="85"/>
      <c r="J52" s="85"/>
      <c r="K52" s="86"/>
      <c r="L52" s="86"/>
      <c r="M52" s="86"/>
      <c r="N52" s="86"/>
      <c r="O52" s="87">
        <f t="shared" si="2"/>
        <v>0</v>
      </c>
      <c r="P52" s="87">
        <f t="shared" si="3"/>
        <v>0</v>
      </c>
    </row>
    <row r="53" spans="1:16" x14ac:dyDescent="0.2">
      <c r="A53" s="75"/>
      <c r="B53" s="75"/>
      <c r="C53" s="75"/>
      <c r="D53" s="75"/>
      <c r="E53" s="75"/>
      <c r="F53" s="75"/>
      <c r="G53" s="75"/>
      <c r="H53" s="75"/>
      <c r="I53" s="85"/>
      <c r="J53" s="85"/>
      <c r="K53" s="86"/>
      <c r="L53" s="86"/>
      <c r="M53" s="86"/>
      <c r="N53" s="86"/>
      <c r="O53" s="87">
        <f t="shared" si="2"/>
        <v>0</v>
      </c>
      <c r="P53" s="87">
        <f t="shared" si="3"/>
        <v>0</v>
      </c>
    </row>
    <row r="54" spans="1:16" x14ac:dyDescent="0.2">
      <c r="A54" s="75"/>
      <c r="B54" s="75"/>
      <c r="C54" s="75"/>
      <c r="D54" s="75"/>
      <c r="E54" s="75"/>
      <c r="F54" s="75"/>
      <c r="G54" s="75"/>
      <c r="H54" s="75"/>
      <c r="I54" s="85"/>
      <c r="J54" s="85"/>
      <c r="K54" s="86"/>
      <c r="L54" s="86"/>
      <c r="M54" s="86"/>
      <c r="N54" s="86"/>
      <c r="O54" s="87">
        <f t="shared" si="2"/>
        <v>0</v>
      </c>
      <c r="P54" s="87">
        <f t="shared" si="3"/>
        <v>0</v>
      </c>
    </row>
    <row r="55" spans="1:16" x14ac:dyDescent="0.2">
      <c r="A55" s="75"/>
      <c r="B55" s="75"/>
      <c r="C55" s="75"/>
      <c r="D55" s="75"/>
      <c r="E55" s="75"/>
      <c r="F55" s="75"/>
      <c r="G55" s="75"/>
      <c r="H55" s="75"/>
      <c r="I55" s="85"/>
      <c r="J55" s="85"/>
      <c r="K55" s="86"/>
      <c r="L55" s="86"/>
      <c r="M55" s="86"/>
      <c r="N55" s="86"/>
      <c r="O55" s="87">
        <f t="shared" si="2"/>
        <v>0</v>
      </c>
      <c r="P55" s="87">
        <f t="shared" si="3"/>
        <v>0</v>
      </c>
    </row>
    <row r="56" spans="1:16" x14ac:dyDescent="0.2">
      <c r="A56" s="75"/>
      <c r="B56" s="75"/>
      <c r="C56" s="75"/>
      <c r="D56" s="75"/>
      <c r="E56" s="75"/>
      <c r="F56" s="75"/>
      <c r="G56" s="75"/>
      <c r="H56" s="75"/>
      <c r="I56" s="85"/>
      <c r="J56" s="85"/>
      <c r="K56" s="86"/>
      <c r="L56" s="86"/>
      <c r="M56" s="86"/>
      <c r="N56" s="86"/>
      <c r="O56" s="87">
        <f t="shared" si="2"/>
        <v>0</v>
      </c>
      <c r="P56" s="87">
        <f t="shared" si="3"/>
        <v>0</v>
      </c>
    </row>
    <row r="57" spans="1:16" x14ac:dyDescent="0.2">
      <c r="A57" s="75"/>
      <c r="B57" s="75"/>
      <c r="C57" s="75"/>
      <c r="D57" s="75"/>
      <c r="E57" s="75"/>
      <c r="F57" s="75"/>
      <c r="G57" s="75"/>
      <c r="H57" s="75"/>
      <c r="I57" s="85"/>
      <c r="J57" s="85"/>
      <c r="K57" s="86"/>
      <c r="L57" s="86"/>
      <c r="M57" s="86"/>
      <c r="N57" s="86"/>
      <c r="O57" s="87">
        <f t="shared" si="2"/>
        <v>0</v>
      </c>
      <c r="P57" s="87">
        <f t="shared" si="3"/>
        <v>0</v>
      </c>
    </row>
    <row r="58" spans="1:16" x14ac:dyDescent="0.2">
      <c r="A58" s="75"/>
      <c r="B58" s="75"/>
      <c r="C58" s="75"/>
      <c r="D58" s="75"/>
      <c r="E58" s="75"/>
      <c r="F58" s="75"/>
      <c r="G58" s="75"/>
      <c r="H58" s="75"/>
      <c r="I58" s="85"/>
      <c r="J58" s="85"/>
      <c r="K58" s="86"/>
      <c r="L58" s="86"/>
      <c r="M58" s="86"/>
      <c r="N58" s="86"/>
      <c r="O58" s="87">
        <f t="shared" si="2"/>
        <v>0</v>
      </c>
      <c r="P58" s="87">
        <f t="shared" si="3"/>
        <v>0</v>
      </c>
    </row>
    <row r="59" spans="1:16" x14ac:dyDescent="0.2">
      <c r="A59" s="75"/>
      <c r="B59" s="75"/>
      <c r="C59" s="75"/>
      <c r="D59" s="75"/>
      <c r="E59" s="75"/>
      <c r="F59" s="75"/>
      <c r="G59" s="75"/>
      <c r="H59" s="75"/>
      <c r="I59" s="85"/>
      <c r="J59" s="85"/>
      <c r="K59" s="86"/>
      <c r="L59" s="86"/>
      <c r="M59" s="86"/>
      <c r="N59" s="86"/>
      <c r="O59" s="87">
        <f t="shared" si="2"/>
        <v>0</v>
      </c>
      <c r="P59" s="87">
        <f t="shared" si="3"/>
        <v>0</v>
      </c>
    </row>
    <row r="60" spans="1:16" x14ac:dyDescent="0.2">
      <c r="A60" s="75"/>
      <c r="B60" s="75"/>
      <c r="C60" s="75"/>
      <c r="D60" s="75"/>
      <c r="E60" s="75"/>
      <c r="F60" s="75"/>
      <c r="G60" s="75"/>
      <c r="H60" s="75"/>
      <c r="I60" s="85"/>
      <c r="J60" s="85"/>
      <c r="K60" s="86"/>
      <c r="L60" s="86"/>
      <c r="M60" s="86"/>
      <c r="N60" s="86"/>
      <c r="O60" s="87">
        <f t="shared" si="2"/>
        <v>0</v>
      </c>
      <c r="P60" s="87">
        <f t="shared" si="3"/>
        <v>0</v>
      </c>
    </row>
    <row r="61" spans="1:16" x14ac:dyDescent="0.2">
      <c r="A61" s="75"/>
      <c r="B61" s="75"/>
      <c r="C61" s="75"/>
      <c r="D61" s="75"/>
      <c r="E61" s="75"/>
      <c r="F61" s="75"/>
      <c r="G61" s="75"/>
      <c r="H61" s="75"/>
      <c r="I61" s="85"/>
      <c r="J61" s="85"/>
      <c r="K61" s="86"/>
      <c r="L61" s="86"/>
      <c r="M61" s="86"/>
      <c r="N61" s="86"/>
      <c r="O61" s="87">
        <f t="shared" si="2"/>
        <v>0</v>
      </c>
      <c r="P61" s="87">
        <f t="shared" si="3"/>
        <v>0</v>
      </c>
    </row>
    <row r="62" spans="1:16" x14ac:dyDescent="0.2">
      <c r="A62" s="75"/>
      <c r="B62" s="75"/>
      <c r="C62" s="75"/>
      <c r="D62" s="75"/>
      <c r="E62" s="75"/>
      <c r="F62" s="75"/>
      <c r="G62" s="75"/>
      <c r="H62" s="75"/>
      <c r="I62" s="85"/>
      <c r="J62" s="85"/>
      <c r="K62" s="86"/>
      <c r="L62" s="86"/>
      <c r="M62" s="86"/>
      <c r="N62" s="86"/>
      <c r="O62" s="87">
        <f t="shared" si="2"/>
        <v>0</v>
      </c>
      <c r="P62" s="87">
        <f t="shared" si="3"/>
        <v>0</v>
      </c>
    </row>
    <row r="63" spans="1:16" x14ac:dyDescent="0.2">
      <c r="A63" s="75"/>
      <c r="B63" s="75"/>
      <c r="C63" s="75"/>
      <c r="D63" s="75"/>
      <c r="E63" s="75"/>
      <c r="F63" s="75"/>
      <c r="G63" s="75"/>
      <c r="H63" s="75"/>
      <c r="I63" s="85"/>
      <c r="J63" s="85"/>
      <c r="K63" s="86"/>
      <c r="L63" s="86"/>
      <c r="M63" s="86"/>
      <c r="N63" s="86"/>
      <c r="O63" s="87">
        <f t="shared" si="2"/>
        <v>0</v>
      </c>
      <c r="P63" s="87">
        <f t="shared" si="3"/>
        <v>0</v>
      </c>
    </row>
    <row r="64" spans="1:16" x14ac:dyDescent="0.2">
      <c r="A64" s="75"/>
      <c r="B64" s="75"/>
      <c r="C64" s="75"/>
      <c r="D64" s="75"/>
      <c r="E64" s="75"/>
      <c r="F64" s="75"/>
      <c r="G64" s="75"/>
      <c r="H64" s="75"/>
      <c r="I64" s="85"/>
      <c r="J64" s="85"/>
      <c r="K64" s="86"/>
      <c r="L64" s="86"/>
      <c r="M64" s="86"/>
      <c r="N64" s="86"/>
      <c r="O64" s="87">
        <f t="shared" si="2"/>
        <v>0</v>
      </c>
      <c r="P64" s="87">
        <f t="shared" si="3"/>
        <v>0</v>
      </c>
    </row>
    <row r="65" spans="1:16" x14ac:dyDescent="0.2">
      <c r="A65" s="75"/>
      <c r="B65" s="75"/>
      <c r="C65" s="75"/>
      <c r="D65" s="75"/>
      <c r="E65" s="75"/>
      <c r="F65" s="75"/>
      <c r="G65" s="75"/>
      <c r="H65" s="75"/>
      <c r="I65" s="85"/>
      <c r="J65" s="85"/>
      <c r="K65" s="86"/>
      <c r="L65" s="86"/>
      <c r="M65" s="86"/>
      <c r="N65" s="86"/>
      <c r="O65" s="87">
        <f t="shared" si="2"/>
        <v>0</v>
      </c>
      <c r="P65" s="87">
        <f t="shared" si="3"/>
        <v>0</v>
      </c>
    </row>
    <row r="66" spans="1:16" x14ac:dyDescent="0.2">
      <c r="A66" s="75"/>
      <c r="B66" s="75"/>
      <c r="C66" s="75"/>
      <c r="D66" s="75"/>
      <c r="E66" s="75"/>
      <c r="F66" s="75"/>
      <c r="G66" s="75"/>
      <c r="H66" s="75"/>
      <c r="I66" s="85"/>
      <c r="J66" s="85"/>
      <c r="K66" s="86"/>
      <c r="L66" s="86"/>
      <c r="M66" s="86"/>
      <c r="N66" s="86"/>
      <c r="O66" s="87">
        <f t="shared" si="2"/>
        <v>0</v>
      </c>
      <c r="P66" s="87">
        <f t="shared" si="3"/>
        <v>0</v>
      </c>
    </row>
    <row r="67" spans="1:16" x14ac:dyDescent="0.2">
      <c r="A67" s="75"/>
      <c r="B67" s="75"/>
      <c r="C67" s="75"/>
      <c r="D67" s="75"/>
      <c r="E67" s="75"/>
      <c r="F67" s="75"/>
      <c r="G67" s="75"/>
      <c r="H67" s="75"/>
      <c r="I67" s="85"/>
      <c r="J67" s="85"/>
      <c r="K67" s="86"/>
      <c r="L67" s="86"/>
      <c r="M67" s="86"/>
      <c r="N67" s="86"/>
      <c r="O67" s="87">
        <f t="shared" si="2"/>
        <v>0</v>
      </c>
      <c r="P67" s="87">
        <f t="shared" si="3"/>
        <v>0</v>
      </c>
    </row>
    <row r="68" spans="1:16" x14ac:dyDescent="0.2">
      <c r="A68" s="75"/>
      <c r="B68" s="75"/>
      <c r="C68" s="75"/>
      <c r="D68" s="75"/>
      <c r="E68" s="75"/>
      <c r="F68" s="75"/>
      <c r="G68" s="75"/>
      <c r="H68" s="75"/>
      <c r="I68" s="85"/>
      <c r="J68" s="85"/>
      <c r="K68" s="86"/>
      <c r="L68" s="86"/>
      <c r="M68" s="86"/>
      <c r="N68" s="86"/>
      <c r="O68" s="87">
        <f t="shared" ref="O68:O152" si="4">+K68*N68^2</f>
        <v>0</v>
      </c>
      <c r="P68" s="87">
        <f t="shared" ref="P68:P177" si="5">+L68*N68^2</f>
        <v>0</v>
      </c>
    </row>
    <row r="69" spans="1:16" x14ac:dyDescent="0.2">
      <c r="A69" s="75"/>
      <c r="B69" s="75"/>
      <c r="C69" s="75"/>
      <c r="D69" s="75"/>
      <c r="E69" s="75"/>
      <c r="F69" s="75"/>
      <c r="G69" s="75"/>
      <c r="H69" s="75"/>
      <c r="I69" s="85"/>
      <c r="J69" s="85"/>
      <c r="K69" s="86"/>
      <c r="L69" s="86"/>
      <c r="M69" s="86"/>
      <c r="N69" s="86"/>
      <c r="O69" s="87">
        <f t="shared" si="4"/>
        <v>0</v>
      </c>
      <c r="P69" s="87">
        <f t="shared" si="5"/>
        <v>0</v>
      </c>
    </row>
    <row r="70" spans="1:16" x14ac:dyDescent="0.2">
      <c r="A70" s="75"/>
      <c r="B70" s="75"/>
      <c r="C70" s="75"/>
      <c r="D70" s="75"/>
      <c r="E70" s="75"/>
      <c r="F70" s="75"/>
      <c r="G70" s="75"/>
      <c r="H70" s="75"/>
      <c r="I70" s="85"/>
      <c r="J70" s="85"/>
      <c r="K70" s="86"/>
      <c r="L70" s="86"/>
      <c r="M70" s="86"/>
      <c r="N70" s="86"/>
      <c r="O70" s="87">
        <f t="shared" si="4"/>
        <v>0</v>
      </c>
      <c r="P70" s="87">
        <f t="shared" si="5"/>
        <v>0</v>
      </c>
    </row>
    <row r="71" spans="1:16" x14ac:dyDescent="0.2">
      <c r="A71" s="75"/>
      <c r="B71" s="75"/>
      <c r="C71" s="75"/>
      <c r="D71" s="75"/>
      <c r="E71" s="75"/>
      <c r="F71" s="75"/>
      <c r="G71" s="75"/>
      <c r="H71" s="75"/>
      <c r="I71" s="85"/>
      <c r="J71" s="85"/>
      <c r="K71" s="86"/>
      <c r="L71" s="86"/>
      <c r="M71" s="86"/>
      <c r="N71" s="86"/>
      <c r="O71" s="87">
        <f t="shared" si="4"/>
        <v>0</v>
      </c>
      <c r="P71" s="87">
        <f t="shared" si="5"/>
        <v>0</v>
      </c>
    </row>
    <row r="72" spans="1:16" x14ac:dyDescent="0.2">
      <c r="A72" s="75"/>
      <c r="B72" s="75"/>
      <c r="C72" s="75"/>
      <c r="D72" s="75"/>
      <c r="E72" s="75"/>
      <c r="F72" s="75"/>
      <c r="G72" s="75"/>
      <c r="H72" s="75"/>
      <c r="I72" s="85"/>
      <c r="J72" s="85"/>
      <c r="K72" s="86"/>
      <c r="L72" s="86"/>
      <c r="M72" s="86"/>
      <c r="N72" s="86"/>
      <c r="O72" s="87">
        <f t="shared" si="4"/>
        <v>0</v>
      </c>
      <c r="P72" s="87">
        <f t="shared" si="5"/>
        <v>0</v>
      </c>
    </row>
    <row r="73" spans="1:16" x14ac:dyDescent="0.2">
      <c r="A73" s="75"/>
      <c r="B73" s="75"/>
      <c r="C73" s="75"/>
      <c r="D73" s="75"/>
      <c r="E73" s="75"/>
      <c r="F73" s="75"/>
      <c r="G73" s="75"/>
      <c r="H73" s="75"/>
      <c r="I73" s="85"/>
      <c r="J73" s="85"/>
      <c r="K73" s="86"/>
      <c r="L73" s="86"/>
      <c r="M73" s="86"/>
      <c r="N73" s="86"/>
      <c r="O73" s="87">
        <f t="shared" si="4"/>
        <v>0</v>
      </c>
      <c r="P73" s="87">
        <f t="shared" si="5"/>
        <v>0</v>
      </c>
    </row>
    <row r="74" spans="1:16" x14ac:dyDescent="0.2">
      <c r="A74" s="75"/>
      <c r="B74" s="75"/>
      <c r="C74" s="75"/>
      <c r="D74" s="75"/>
      <c r="E74" s="75"/>
      <c r="F74" s="75"/>
      <c r="G74" s="75"/>
      <c r="H74" s="75"/>
      <c r="I74" s="85"/>
      <c r="J74" s="85"/>
      <c r="K74" s="86"/>
      <c r="L74" s="86"/>
      <c r="M74" s="86"/>
      <c r="N74" s="86"/>
      <c r="O74" s="87">
        <f t="shared" si="4"/>
        <v>0</v>
      </c>
      <c r="P74" s="87">
        <f t="shared" si="5"/>
        <v>0</v>
      </c>
    </row>
    <row r="75" spans="1:16" x14ac:dyDescent="0.2">
      <c r="A75" s="75"/>
      <c r="B75" s="75"/>
      <c r="C75" s="75"/>
      <c r="D75" s="75"/>
      <c r="E75" s="75"/>
      <c r="F75" s="75"/>
      <c r="G75" s="75"/>
      <c r="H75" s="75"/>
      <c r="I75" s="85"/>
      <c r="J75" s="85"/>
      <c r="K75" s="86"/>
      <c r="L75" s="86"/>
      <c r="M75" s="86"/>
      <c r="N75" s="86"/>
      <c r="O75" s="87">
        <f t="shared" si="4"/>
        <v>0</v>
      </c>
      <c r="P75" s="87">
        <f t="shared" si="5"/>
        <v>0</v>
      </c>
    </row>
    <row r="76" spans="1:16" x14ac:dyDescent="0.2">
      <c r="A76" s="75"/>
      <c r="B76" s="75"/>
      <c r="C76" s="75"/>
      <c r="D76" s="75"/>
      <c r="E76" s="75"/>
      <c r="F76" s="75"/>
      <c r="G76" s="75"/>
      <c r="H76" s="75"/>
      <c r="I76" s="85"/>
      <c r="J76" s="85"/>
      <c r="K76" s="86"/>
      <c r="L76" s="86"/>
      <c r="M76" s="86"/>
      <c r="N76" s="86"/>
      <c r="O76" s="87">
        <f t="shared" si="4"/>
        <v>0</v>
      </c>
      <c r="P76" s="87">
        <f t="shared" si="5"/>
        <v>0</v>
      </c>
    </row>
    <row r="77" spans="1:16" x14ac:dyDescent="0.2">
      <c r="A77" s="75"/>
      <c r="B77" s="75"/>
      <c r="C77" s="75"/>
      <c r="D77" s="75"/>
      <c r="E77" s="75"/>
      <c r="F77" s="75"/>
      <c r="G77" s="75"/>
      <c r="H77" s="75"/>
      <c r="I77" s="85"/>
      <c r="J77" s="85"/>
      <c r="K77" s="86"/>
      <c r="L77" s="86"/>
      <c r="M77" s="86"/>
      <c r="N77" s="86"/>
      <c r="O77" s="87">
        <f t="shared" si="4"/>
        <v>0</v>
      </c>
      <c r="P77" s="87">
        <f t="shared" si="5"/>
        <v>0</v>
      </c>
    </row>
    <row r="78" spans="1:16" x14ac:dyDescent="0.2">
      <c r="A78" s="75"/>
      <c r="B78" s="75"/>
      <c r="C78" s="75"/>
      <c r="D78" s="75"/>
      <c r="E78" s="75"/>
      <c r="F78" s="75"/>
      <c r="G78" s="75"/>
      <c r="H78" s="75"/>
      <c r="I78" s="85"/>
      <c r="J78" s="85"/>
      <c r="K78" s="86"/>
      <c r="L78" s="86"/>
      <c r="M78" s="86"/>
      <c r="N78" s="86"/>
      <c r="O78" s="87">
        <f t="shared" si="4"/>
        <v>0</v>
      </c>
      <c r="P78" s="87">
        <f t="shared" si="5"/>
        <v>0</v>
      </c>
    </row>
    <row r="79" spans="1:16" x14ac:dyDescent="0.2">
      <c r="A79" s="75"/>
      <c r="B79" s="75"/>
      <c r="C79" s="75"/>
      <c r="D79" s="75"/>
      <c r="E79" s="75"/>
      <c r="F79" s="75"/>
      <c r="G79" s="75"/>
      <c r="H79" s="75"/>
      <c r="I79" s="85"/>
      <c r="J79" s="85"/>
      <c r="K79" s="86"/>
      <c r="L79" s="86"/>
      <c r="M79" s="86"/>
      <c r="N79" s="86"/>
      <c r="O79" s="87">
        <f t="shared" si="4"/>
        <v>0</v>
      </c>
      <c r="P79" s="87">
        <f t="shared" si="5"/>
        <v>0</v>
      </c>
    </row>
    <row r="80" spans="1:16" x14ac:dyDescent="0.2">
      <c r="A80" s="75"/>
      <c r="B80" s="75"/>
      <c r="C80" s="75"/>
      <c r="D80" s="75"/>
      <c r="E80" s="75"/>
      <c r="F80" s="75"/>
      <c r="G80" s="75"/>
      <c r="H80" s="75"/>
      <c r="I80" s="85"/>
      <c r="J80" s="85"/>
      <c r="K80" s="86"/>
      <c r="L80" s="86"/>
      <c r="M80" s="86"/>
      <c r="N80" s="86"/>
      <c r="O80" s="87">
        <f t="shared" si="4"/>
        <v>0</v>
      </c>
      <c r="P80" s="87">
        <f t="shared" si="5"/>
        <v>0</v>
      </c>
    </row>
    <row r="81" spans="1:16" x14ac:dyDescent="0.2">
      <c r="A81" s="75"/>
      <c r="B81" s="75"/>
      <c r="C81" s="75"/>
      <c r="D81" s="75"/>
      <c r="E81" s="75"/>
      <c r="F81" s="75"/>
      <c r="G81" s="75"/>
      <c r="H81" s="75"/>
      <c r="I81" s="85"/>
      <c r="J81" s="85"/>
      <c r="K81" s="86"/>
      <c r="L81" s="86"/>
      <c r="M81" s="86"/>
      <c r="N81" s="86"/>
      <c r="O81" s="87">
        <f t="shared" si="4"/>
        <v>0</v>
      </c>
      <c r="P81" s="87">
        <f t="shared" si="5"/>
        <v>0</v>
      </c>
    </row>
    <row r="82" spans="1:16" x14ac:dyDescent="0.2">
      <c r="A82" s="75"/>
      <c r="B82" s="75"/>
      <c r="C82" s="75"/>
      <c r="D82" s="75"/>
      <c r="E82" s="75"/>
      <c r="F82" s="75"/>
      <c r="G82" s="75"/>
      <c r="H82" s="75"/>
      <c r="I82" s="85"/>
      <c r="J82" s="85"/>
      <c r="K82" s="86"/>
      <c r="L82" s="86"/>
      <c r="M82" s="86"/>
      <c r="N82" s="86"/>
      <c r="O82" s="87">
        <f t="shared" si="4"/>
        <v>0</v>
      </c>
      <c r="P82" s="87">
        <f t="shared" si="5"/>
        <v>0</v>
      </c>
    </row>
    <row r="83" spans="1:16" x14ac:dyDescent="0.2">
      <c r="A83" s="75"/>
      <c r="B83" s="75"/>
      <c r="C83" s="75"/>
      <c r="D83" s="75"/>
      <c r="E83" s="75"/>
      <c r="F83" s="75"/>
      <c r="G83" s="75"/>
      <c r="H83" s="75"/>
      <c r="I83" s="85"/>
      <c r="J83" s="85"/>
      <c r="K83" s="86"/>
      <c r="L83" s="86"/>
      <c r="M83" s="86"/>
      <c r="N83" s="86"/>
      <c r="O83" s="87">
        <f t="shared" si="4"/>
        <v>0</v>
      </c>
      <c r="P83" s="87">
        <f t="shared" si="5"/>
        <v>0</v>
      </c>
    </row>
    <row r="84" spans="1:16" x14ac:dyDescent="0.2">
      <c r="A84" s="75"/>
      <c r="B84" s="75"/>
      <c r="C84" s="75"/>
      <c r="D84" s="75"/>
      <c r="E84" s="75"/>
      <c r="F84" s="75"/>
      <c r="G84" s="75"/>
      <c r="H84" s="75"/>
      <c r="I84" s="85"/>
      <c r="J84" s="85"/>
      <c r="K84" s="86"/>
      <c r="L84" s="86"/>
      <c r="M84" s="86"/>
      <c r="N84" s="86"/>
      <c r="O84" s="87">
        <f t="shared" si="4"/>
        <v>0</v>
      </c>
      <c r="P84" s="87">
        <f t="shared" si="5"/>
        <v>0</v>
      </c>
    </row>
    <row r="85" spans="1:16" x14ac:dyDescent="0.2">
      <c r="A85" s="75"/>
      <c r="B85" s="75"/>
      <c r="C85" s="75"/>
      <c r="D85" s="75"/>
      <c r="E85" s="75"/>
      <c r="F85" s="75"/>
      <c r="G85" s="75"/>
      <c r="H85" s="75"/>
      <c r="I85" s="85"/>
      <c r="J85" s="85"/>
      <c r="K85" s="86"/>
      <c r="L85" s="86"/>
      <c r="M85" s="86"/>
      <c r="N85" s="86"/>
      <c r="O85" s="87">
        <f t="shared" si="4"/>
        <v>0</v>
      </c>
      <c r="P85" s="87">
        <f t="shared" si="5"/>
        <v>0</v>
      </c>
    </row>
    <row r="86" spans="1:16" x14ac:dyDescent="0.2">
      <c r="A86" s="75"/>
      <c r="B86" s="75"/>
      <c r="C86" s="75"/>
      <c r="D86" s="75"/>
      <c r="E86" s="75"/>
      <c r="F86" s="75"/>
      <c r="G86" s="75"/>
      <c r="H86" s="75"/>
      <c r="I86" s="85"/>
      <c r="J86" s="85"/>
      <c r="K86" s="86"/>
      <c r="L86" s="86"/>
      <c r="M86" s="86"/>
      <c r="N86" s="86"/>
      <c r="O86" s="87">
        <f t="shared" si="4"/>
        <v>0</v>
      </c>
      <c r="P86" s="87">
        <f t="shared" si="5"/>
        <v>0</v>
      </c>
    </row>
    <row r="87" spans="1:16" x14ac:dyDescent="0.2">
      <c r="A87" s="75"/>
      <c r="B87" s="75"/>
      <c r="C87" s="75"/>
      <c r="D87" s="75"/>
      <c r="E87" s="75"/>
      <c r="F87" s="75"/>
      <c r="G87" s="75"/>
      <c r="H87" s="75"/>
      <c r="I87" s="85"/>
      <c r="J87" s="85"/>
      <c r="K87" s="86"/>
      <c r="L87" s="86"/>
      <c r="M87" s="86"/>
      <c r="N87" s="86"/>
      <c r="O87" s="87">
        <f t="shared" si="4"/>
        <v>0</v>
      </c>
      <c r="P87" s="87">
        <f t="shared" si="5"/>
        <v>0</v>
      </c>
    </row>
    <row r="88" spans="1:16" x14ac:dyDescent="0.2">
      <c r="A88" s="75"/>
      <c r="B88" s="75"/>
      <c r="C88" s="75"/>
      <c r="D88" s="75"/>
      <c r="E88" s="75"/>
      <c r="F88" s="75"/>
      <c r="G88" s="75"/>
      <c r="H88" s="75"/>
      <c r="I88" s="85"/>
      <c r="J88" s="85"/>
      <c r="K88" s="86"/>
      <c r="L88" s="86"/>
      <c r="M88" s="86"/>
      <c r="N88" s="86"/>
      <c r="O88" s="87">
        <f t="shared" si="4"/>
        <v>0</v>
      </c>
      <c r="P88" s="87">
        <f t="shared" si="5"/>
        <v>0</v>
      </c>
    </row>
    <row r="89" spans="1:16" x14ac:dyDescent="0.2">
      <c r="A89" s="75"/>
      <c r="B89" s="75"/>
      <c r="C89" s="75"/>
      <c r="D89" s="75"/>
      <c r="E89" s="75"/>
      <c r="F89" s="75"/>
      <c r="G89" s="75"/>
      <c r="H89" s="75"/>
      <c r="I89" s="85"/>
      <c r="J89" s="85"/>
      <c r="K89" s="86"/>
      <c r="L89" s="86"/>
      <c r="M89" s="86"/>
      <c r="N89" s="86"/>
      <c r="O89" s="87">
        <f t="shared" si="4"/>
        <v>0</v>
      </c>
      <c r="P89" s="87">
        <f t="shared" si="5"/>
        <v>0</v>
      </c>
    </row>
    <row r="90" spans="1:16" x14ac:dyDescent="0.2">
      <c r="A90" s="75"/>
      <c r="B90" s="75"/>
      <c r="C90" s="75"/>
      <c r="D90" s="75"/>
      <c r="E90" s="75"/>
      <c r="F90" s="75"/>
      <c r="G90" s="75"/>
      <c r="H90" s="75"/>
      <c r="I90" s="85"/>
      <c r="J90" s="85"/>
      <c r="K90" s="86"/>
      <c r="L90" s="86"/>
      <c r="M90" s="86"/>
      <c r="N90" s="86"/>
      <c r="O90" s="87">
        <f t="shared" si="4"/>
        <v>0</v>
      </c>
      <c r="P90" s="87">
        <f t="shared" si="5"/>
        <v>0</v>
      </c>
    </row>
    <row r="91" spans="1:16" x14ac:dyDescent="0.2">
      <c r="A91" s="75"/>
      <c r="B91" s="75"/>
      <c r="C91" s="75"/>
      <c r="D91" s="75"/>
      <c r="E91" s="75"/>
      <c r="F91" s="75"/>
      <c r="G91" s="75"/>
      <c r="H91" s="75"/>
      <c r="I91" s="85"/>
      <c r="J91" s="85"/>
      <c r="K91" s="86"/>
      <c r="L91" s="86"/>
      <c r="M91" s="86"/>
      <c r="N91" s="86"/>
      <c r="O91" s="87">
        <f t="shared" si="4"/>
        <v>0</v>
      </c>
      <c r="P91" s="87">
        <f t="shared" si="5"/>
        <v>0</v>
      </c>
    </row>
    <row r="92" spans="1:16" x14ac:dyDescent="0.2">
      <c r="A92" s="75"/>
      <c r="B92" s="75"/>
      <c r="C92" s="75"/>
      <c r="D92" s="75"/>
      <c r="E92" s="75"/>
      <c r="F92" s="75"/>
      <c r="G92" s="75"/>
      <c r="H92" s="75"/>
      <c r="I92" s="85"/>
      <c r="J92" s="85"/>
      <c r="K92" s="86"/>
      <c r="L92" s="86"/>
      <c r="M92" s="86"/>
      <c r="N92" s="86"/>
      <c r="O92" s="87">
        <f t="shared" si="4"/>
        <v>0</v>
      </c>
      <c r="P92" s="87">
        <f t="shared" si="5"/>
        <v>0</v>
      </c>
    </row>
    <row r="93" spans="1:16" x14ac:dyDescent="0.2">
      <c r="A93" s="75"/>
      <c r="B93" s="75"/>
      <c r="C93" s="75"/>
      <c r="D93" s="75"/>
      <c r="E93" s="75"/>
      <c r="F93" s="75"/>
      <c r="G93" s="75"/>
      <c r="H93" s="75"/>
      <c r="I93" s="85"/>
      <c r="J93" s="85"/>
      <c r="K93" s="86"/>
      <c r="L93" s="86"/>
      <c r="M93" s="86"/>
      <c r="N93" s="86"/>
      <c r="O93" s="87">
        <f t="shared" si="4"/>
        <v>0</v>
      </c>
      <c r="P93" s="87">
        <f t="shared" si="5"/>
        <v>0</v>
      </c>
    </row>
    <row r="94" spans="1:16" x14ac:dyDescent="0.2">
      <c r="A94" s="75"/>
      <c r="B94" s="75"/>
      <c r="C94" s="75"/>
      <c r="D94" s="75"/>
      <c r="E94" s="75"/>
      <c r="F94" s="75"/>
      <c r="G94" s="75"/>
      <c r="H94" s="75"/>
      <c r="I94" s="85"/>
      <c r="J94" s="85"/>
      <c r="K94" s="86"/>
      <c r="L94" s="86"/>
      <c r="M94" s="86"/>
      <c r="N94" s="86"/>
      <c r="O94" s="87">
        <f t="shared" ref="O94:O120" si="6">+K94*N94^2</f>
        <v>0</v>
      </c>
      <c r="P94" s="87">
        <f t="shared" ref="P94:P120" si="7">+L94*N94^2</f>
        <v>0</v>
      </c>
    </row>
    <row r="95" spans="1:16" x14ac:dyDescent="0.2">
      <c r="A95" s="75"/>
      <c r="B95" s="75"/>
      <c r="C95" s="75"/>
      <c r="D95" s="75"/>
      <c r="E95" s="75"/>
      <c r="F95" s="75"/>
      <c r="G95" s="75"/>
      <c r="H95" s="75"/>
      <c r="I95" s="85"/>
      <c r="J95" s="85"/>
      <c r="K95" s="86"/>
      <c r="L95" s="86"/>
      <c r="M95" s="86"/>
      <c r="N95" s="86"/>
      <c r="O95" s="87">
        <f t="shared" si="6"/>
        <v>0</v>
      </c>
      <c r="P95" s="87">
        <f t="shared" si="7"/>
        <v>0</v>
      </c>
    </row>
    <row r="96" spans="1:16" x14ac:dyDescent="0.2">
      <c r="A96" s="75"/>
      <c r="B96" s="75"/>
      <c r="C96" s="75"/>
      <c r="D96" s="75"/>
      <c r="E96" s="75"/>
      <c r="F96" s="75"/>
      <c r="G96" s="75"/>
      <c r="H96" s="75"/>
      <c r="I96" s="85"/>
      <c r="J96" s="85"/>
      <c r="K96" s="86"/>
      <c r="L96" s="86"/>
      <c r="M96" s="86"/>
      <c r="N96" s="86"/>
      <c r="O96" s="87">
        <f t="shared" si="6"/>
        <v>0</v>
      </c>
      <c r="P96" s="87">
        <f t="shared" si="7"/>
        <v>0</v>
      </c>
    </row>
    <row r="97" spans="1:16" x14ac:dyDescent="0.2">
      <c r="A97" s="75"/>
      <c r="B97" s="75"/>
      <c r="C97" s="75"/>
      <c r="D97" s="75"/>
      <c r="E97" s="75"/>
      <c r="F97" s="75"/>
      <c r="G97" s="75"/>
      <c r="H97" s="75"/>
      <c r="I97" s="85"/>
      <c r="J97" s="85"/>
      <c r="K97" s="86"/>
      <c r="L97" s="86"/>
      <c r="M97" s="86"/>
      <c r="N97" s="86"/>
      <c r="O97" s="87">
        <f t="shared" si="6"/>
        <v>0</v>
      </c>
      <c r="P97" s="87">
        <f t="shared" si="7"/>
        <v>0</v>
      </c>
    </row>
    <row r="98" spans="1:16" x14ac:dyDescent="0.2">
      <c r="A98" s="75"/>
      <c r="B98" s="75"/>
      <c r="C98" s="75"/>
      <c r="D98" s="75"/>
      <c r="E98" s="75"/>
      <c r="F98" s="75"/>
      <c r="G98" s="75"/>
      <c r="H98" s="75"/>
      <c r="I98" s="85"/>
      <c r="J98" s="85"/>
      <c r="K98" s="86"/>
      <c r="L98" s="86"/>
      <c r="M98" s="86"/>
      <c r="N98" s="86"/>
      <c r="O98" s="87">
        <f t="shared" si="6"/>
        <v>0</v>
      </c>
      <c r="P98" s="87">
        <f t="shared" si="7"/>
        <v>0</v>
      </c>
    </row>
    <row r="99" spans="1:16" x14ac:dyDescent="0.2">
      <c r="A99" s="75"/>
      <c r="B99" s="75"/>
      <c r="C99" s="75"/>
      <c r="D99" s="75"/>
      <c r="E99" s="75"/>
      <c r="F99" s="75"/>
      <c r="G99" s="75"/>
      <c r="H99" s="75"/>
      <c r="I99" s="85"/>
      <c r="J99" s="85"/>
      <c r="K99" s="86"/>
      <c r="L99" s="86"/>
      <c r="M99" s="86"/>
      <c r="N99" s="86"/>
      <c r="O99" s="87">
        <f t="shared" si="6"/>
        <v>0</v>
      </c>
      <c r="P99" s="87">
        <f t="shared" si="7"/>
        <v>0</v>
      </c>
    </row>
    <row r="100" spans="1:16" x14ac:dyDescent="0.2">
      <c r="A100" s="75"/>
      <c r="B100" s="75"/>
      <c r="C100" s="75"/>
      <c r="D100" s="75"/>
      <c r="E100" s="75"/>
      <c r="F100" s="75"/>
      <c r="G100" s="75"/>
      <c r="H100" s="75"/>
      <c r="I100" s="85"/>
      <c r="J100" s="85"/>
      <c r="K100" s="86"/>
      <c r="L100" s="86"/>
      <c r="M100" s="86"/>
      <c r="N100" s="86"/>
      <c r="O100" s="87">
        <f t="shared" si="6"/>
        <v>0</v>
      </c>
      <c r="P100" s="87">
        <f t="shared" si="7"/>
        <v>0</v>
      </c>
    </row>
    <row r="101" spans="1:16" x14ac:dyDescent="0.2">
      <c r="A101" s="75"/>
      <c r="B101" s="75"/>
      <c r="C101" s="75"/>
      <c r="D101" s="75"/>
      <c r="E101" s="75"/>
      <c r="F101" s="75"/>
      <c r="G101" s="75"/>
      <c r="H101" s="75"/>
      <c r="I101" s="85"/>
      <c r="J101" s="85"/>
      <c r="K101" s="86"/>
      <c r="L101" s="86"/>
      <c r="M101" s="86"/>
      <c r="N101" s="86"/>
      <c r="O101" s="87">
        <f t="shared" si="6"/>
        <v>0</v>
      </c>
      <c r="P101" s="87">
        <f t="shared" si="7"/>
        <v>0</v>
      </c>
    </row>
    <row r="102" spans="1:16" x14ac:dyDescent="0.2">
      <c r="A102" s="75"/>
      <c r="B102" s="75"/>
      <c r="C102" s="75"/>
      <c r="D102" s="75"/>
      <c r="E102" s="75"/>
      <c r="F102" s="75"/>
      <c r="G102" s="75"/>
      <c r="H102" s="75"/>
      <c r="I102" s="85"/>
      <c r="J102" s="85"/>
      <c r="K102" s="86"/>
      <c r="L102" s="86"/>
      <c r="M102" s="86"/>
      <c r="N102" s="86"/>
      <c r="O102" s="87">
        <f t="shared" si="6"/>
        <v>0</v>
      </c>
      <c r="P102" s="87">
        <f t="shared" si="7"/>
        <v>0</v>
      </c>
    </row>
    <row r="103" spans="1:16" x14ac:dyDescent="0.2">
      <c r="A103" s="75"/>
      <c r="B103" s="75"/>
      <c r="C103" s="75"/>
      <c r="D103" s="75"/>
      <c r="E103" s="75"/>
      <c r="F103" s="75"/>
      <c r="G103" s="75"/>
      <c r="H103" s="75"/>
      <c r="I103" s="85"/>
      <c r="J103" s="85"/>
      <c r="K103" s="86"/>
      <c r="L103" s="86"/>
      <c r="M103" s="86"/>
      <c r="N103" s="86"/>
      <c r="O103" s="87">
        <f t="shared" si="6"/>
        <v>0</v>
      </c>
      <c r="P103" s="87">
        <f t="shared" si="7"/>
        <v>0</v>
      </c>
    </row>
    <row r="104" spans="1:16" x14ac:dyDescent="0.2">
      <c r="A104" s="75"/>
      <c r="B104" s="75"/>
      <c r="C104" s="75"/>
      <c r="D104" s="75"/>
      <c r="E104" s="75"/>
      <c r="F104" s="75"/>
      <c r="G104" s="75"/>
      <c r="H104" s="75"/>
      <c r="I104" s="85"/>
      <c r="J104" s="85"/>
      <c r="K104" s="86"/>
      <c r="L104" s="86"/>
      <c r="M104" s="86"/>
      <c r="N104" s="86"/>
      <c r="O104" s="87">
        <f t="shared" si="6"/>
        <v>0</v>
      </c>
      <c r="P104" s="87">
        <f t="shared" si="7"/>
        <v>0</v>
      </c>
    </row>
    <row r="105" spans="1:16" x14ac:dyDescent="0.2">
      <c r="A105" s="75"/>
      <c r="B105" s="75"/>
      <c r="C105" s="75"/>
      <c r="D105" s="75"/>
      <c r="E105" s="75"/>
      <c r="F105" s="75"/>
      <c r="G105" s="75"/>
      <c r="H105" s="75"/>
      <c r="I105" s="85"/>
      <c r="J105" s="85"/>
      <c r="K105" s="86"/>
      <c r="L105" s="86"/>
      <c r="M105" s="86"/>
      <c r="N105" s="86"/>
      <c r="O105" s="87">
        <f t="shared" si="6"/>
        <v>0</v>
      </c>
      <c r="P105" s="87">
        <f t="shared" si="7"/>
        <v>0</v>
      </c>
    </row>
    <row r="106" spans="1:16" x14ac:dyDescent="0.2">
      <c r="A106" s="75"/>
      <c r="B106" s="75"/>
      <c r="C106" s="75"/>
      <c r="D106" s="75"/>
      <c r="E106" s="75"/>
      <c r="F106" s="75"/>
      <c r="G106" s="75"/>
      <c r="H106" s="75"/>
      <c r="I106" s="85"/>
      <c r="J106" s="85"/>
      <c r="K106" s="86"/>
      <c r="L106" s="86"/>
      <c r="M106" s="86"/>
      <c r="N106" s="86"/>
      <c r="O106" s="87">
        <f t="shared" si="6"/>
        <v>0</v>
      </c>
      <c r="P106" s="87">
        <f t="shared" si="7"/>
        <v>0</v>
      </c>
    </row>
    <row r="107" spans="1:16" x14ac:dyDescent="0.2">
      <c r="A107" s="75"/>
      <c r="B107" s="75"/>
      <c r="C107" s="75"/>
      <c r="D107" s="75"/>
      <c r="E107" s="75"/>
      <c r="F107" s="75"/>
      <c r="G107" s="75"/>
      <c r="H107" s="75"/>
      <c r="I107" s="85"/>
      <c r="J107" s="85"/>
      <c r="K107" s="86"/>
      <c r="L107" s="86"/>
      <c r="M107" s="86"/>
      <c r="N107" s="86"/>
      <c r="O107" s="87">
        <f t="shared" si="6"/>
        <v>0</v>
      </c>
      <c r="P107" s="87">
        <f t="shared" si="7"/>
        <v>0</v>
      </c>
    </row>
    <row r="108" spans="1:16" x14ac:dyDescent="0.2">
      <c r="A108" s="75"/>
      <c r="B108" s="75"/>
      <c r="C108" s="75"/>
      <c r="D108" s="75"/>
      <c r="E108" s="75"/>
      <c r="F108" s="75"/>
      <c r="G108" s="75"/>
      <c r="H108" s="75"/>
      <c r="I108" s="85"/>
      <c r="J108" s="85"/>
      <c r="K108" s="86"/>
      <c r="L108" s="86"/>
      <c r="M108" s="86"/>
      <c r="N108" s="86"/>
      <c r="O108" s="87">
        <f t="shared" si="6"/>
        <v>0</v>
      </c>
      <c r="P108" s="87">
        <f t="shared" si="7"/>
        <v>0</v>
      </c>
    </row>
    <row r="109" spans="1:16" x14ac:dyDescent="0.2">
      <c r="A109" s="75"/>
      <c r="B109" s="75"/>
      <c r="C109" s="75"/>
      <c r="D109" s="75"/>
      <c r="E109" s="75"/>
      <c r="F109" s="75"/>
      <c r="G109" s="75"/>
      <c r="H109" s="75"/>
      <c r="I109" s="85"/>
      <c r="J109" s="85"/>
      <c r="K109" s="86"/>
      <c r="L109" s="86"/>
      <c r="M109" s="86"/>
      <c r="N109" s="86"/>
      <c r="O109" s="87">
        <f t="shared" si="6"/>
        <v>0</v>
      </c>
      <c r="P109" s="87">
        <f t="shared" si="7"/>
        <v>0</v>
      </c>
    </row>
    <row r="110" spans="1:16" x14ac:dyDescent="0.2">
      <c r="A110" s="75"/>
      <c r="B110" s="75"/>
      <c r="C110" s="75"/>
      <c r="D110" s="75"/>
      <c r="E110" s="75"/>
      <c r="F110" s="75"/>
      <c r="G110" s="75"/>
      <c r="H110" s="75"/>
      <c r="I110" s="85"/>
      <c r="J110" s="85"/>
      <c r="K110" s="86"/>
      <c r="L110" s="86"/>
      <c r="M110" s="86"/>
      <c r="N110" s="86"/>
      <c r="O110" s="87">
        <f t="shared" si="6"/>
        <v>0</v>
      </c>
      <c r="P110" s="87">
        <f t="shared" si="7"/>
        <v>0</v>
      </c>
    </row>
    <row r="111" spans="1:16" x14ac:dyDescent="0.2">
      <c r="A111" s="75"/>
      <c r="B111" s="75"/>
      <c r="C111" s="75"/>
      <c r="D111" s="75"/>
      <c r="E111" s="75"/>
      <c r="F111" s="75"/>
      <c r="G111" s="75"/>
      <c r="H111" s="75"/>
      <c r="I111" s="85"/>
      <c r="J111" s="85"/>
      <c r="K111" s="86"/>
      <c r="L111" s="86"/>
      <c r="M111" s="86"/>
      <c r="N111" s="86"/>
      <c r="O111" s="87">
        <f t="shared" si="6"/>
        <v>0</v>
      </c>
      <c r="P111" s="87">
        <f t="shared" si="7"/>
        <v>0</v>
      </c>
    </row>
    <row r="112" spans="1:16" x14ac:dyDescent="0.2">
      <c r="A112" s="75"/>
      <c r="B112" s="75"/>
      <c r="C112" s="75"/>
      <c r="D112" s="75"/>
      <c r="E112" s="75"/>
      <c r="F112" s="75"/>
      <c r="G112" s="75"/>
      <c r="H112" s="75"/>
      <c r="I112" s="85"/>
      <c r="J112" s="85"/>
      <c r="K112" s="86"/>
      <c r="L112" s="86"/>
      <c r="M112" s="86"/>
      <c r="N112" s="86"/>
      <c r="O112" s="87">
        <f t="shared" si="6"/>
        <v>0</v>
      </c>
      <c r="P112" s="87">
        <f t="shared" si="7"/>
        <v>0</v>
      </c>
    </row>
    <row r="113" spans="1:16" x14ac:dyDescent="0.2">
      <c r="A113" s="75"/>
      <c r="B113" s="75"/>
      <c r="C113" s="75"/>
      <c r="D113" s="75"/>
      <c r="E113" s="75"/>
      <c r="F113" s="75"/>
      <c r="G113" s="75"/>
      <c r="H113" s="75"/>
      <c r="I113" s="85"/>
      <c r="J113" s="85"/>
      <c r="K113" s="86"/>
      <c r="L113" s="86"/>
      <c r="M113" s="86"/>
      <c r="N113" s="86"/>
      <c r="O113" s="87">
        <f t="shared" si="6"/>
        <v>0</v>
      </c>
      <c r="P113" s="87">
        <f t="shared" si="7"/>
        <v>0</v>
      </c>
    </row>
    <row r="114" spans="1:16" x14ac:dyDescent="0.2">
      <c r="A114" s="75"/>
      <c r="B114" s="75"/>
      <c r="C114" s="75"/>
      <c r="D114" s="75"/>
      <c r="E114" s="75"/>
      <c r="F114" s="75"/>
      <c r="G114" s="75"/>
      <c r="H114" s="75"/>
      <c r="I114" s="85"/>
      <c r="J114" s="85"/>
      <c r="K114" s="86"/>
      <c r="L114" s="86"/>
      <c r="M114" s="86"/>
      <c r="N114" s="86"/>
      <c r="O114" s="87">
        <f t="shared" si="6"/>
        <v>0</v>
      </c>
      <c r="P114" s="87">
        <f t="shared" si="7"/>
        <v>0</v>
      </c>
    </row>
    <row r="115" spans="1:16" x14ac:dyDescent="0.2">
      <c r="A115" s="75"/>
      <c r="B115" s="75"/>
      <c r="C115" s="75"/>
      <c r="D115" s="75"/>
      <c r="E115" s="75"/>
      <c r="F115" s="75"/>
      <c r="G115" s="75"/>
      <c r="H115" s="75"/>
      <c r="I115" s="85"/>
      <c r="J115" s="85"/>
      <c r="K115" s="86"/>
      <c r="L115" s="86"/>
      <c r="M115" s="86"/>
      <c r="N115" s="86"/>
      <c r="O115" s="87">
        <f t="shared" si="6"/>
        <v>0</v>
      </c>
      <c r="P115" s="87">
        <f t="shared" si="7"/>
        <v>0</v>
      </c>
    </row>
    <row r="116" spans="1:16" x14ac:dyDescent="0.2">
      <c r="A116" s="75"/>
      <c r="B116" s="75"/>
      <c r="C116" s="75"/>
      <c r="D116" s="75"/>
      <c r="E116" s="75"/>
      <c r="F116" s="75"/>
      <c r="G116" s="75"/>
      <c r="H116" s="75"/>
      <c r="I116" s="85"/>
      <c r="J116" s="85"/>
      <c r="K116" s="86"/>
      <c r="L116" s="86"/>
      <c r="M116" s="86"/>
      <c r="N116" s="86"/>
      <c r="O116" s="87">
        <f t="shared" si="6"/>
        <v>0</v>
      </c>
      <c r="P116" s="87">
        <f t="shared" si="7"/>
        <v>0</v>
      </c>
    </row>
    <row r="117" spans="1:16" x14ac:dyDescent="0.2">
      <c r="A117" s="75"/>
      <c r="B117" s="75"/>
      <c r="C117" s="75"/>
      <c r="D117" s="75"/>
      <c r="E117" s="75"/>
      <c r="F117" s="75"/>
      <c r="G117" s="75"/>
      <c r="H117" s="75"/>
      <c r="I117" s="85"/>
      <c r="J117" s="85"/>
      <c r="K117" s="86"/>
      <c r="L117" s="86"/>
      <c r="M117" s="86"/>
      <c r="N117" s="86"/>
      <c r="O117" s="87">
        <f t="shared" si="6"/>
        <v>0</v>
      </c>
      <c r="P117" s="87">
        <f t="shared" si="7"/>
        <v>0</v>
      </c>
    </row>
    <row r="118" spans="1:16" x14ac:dyDescent="0.2">
      <c r="A118" s="75"/>
      <c r="B118" s="75"/>
      <c r="C118" s="75"/>
      <c r="D118" s="75"/>
      <c r="E118" s="75"/>
      <c r="F118" s="75"/>
      <c r="G118" s="75"/>
      <c r="H118" s="75"/>
      <c r="I118" s="85"/>
      <c r="J118" s="85"/>
      <c r="K118" s="86"/>
      <c r="L118" s="86"/>
      <c r="M118" s="86"/>
      <c r="N118" s="86"/>
      <c r="O118" s="87">
        <f t="shared" si="6"/>
        <v>0</v>
      </c>
      <c r="P118" s="87">
        <f t="shared" si="7"/>
        <v>0</v>
      </c>
    </row>
    <row r="119" spans="1:16" x14ac:dyDescent="0.2">
      <c r="A119" s="75"/>
      <c r="B119" s="75"/>
      <c r="C119" s="75"/>
      <c r="D119" s="75"/>
      <c r="E119" s="75"/>
      <c r="F119" s="75"/>
      <c r="G119" s="75"/>
      <c r="H119" s="75"/>
      <c r="I119" s="85"/>
      <c r="J119" s="85"/>
      <c r="K119" s="86"/>
      <c r="L119" s="86"/>
      <c r="M119" s="86"/>
      <c r="N119" s="86"/>
      <c r="O119" s="87">
        <f t="shared" si="6"/>
        <v>0</v>
      </c>
      <c r="P119" s="87">
        <f t="shared" si="7"/>
        <v>0</v>
      </c>
    </row>
    <row r="120" spans="1:16" x14ac:dyDescent="0.2">
      <c r="A120" s="75"/>
      <c r="B120" s="75"/>
      <c r="C120" s="75"/>
      <c r="D120" s="75"/>
      <c r="E120" s="75"/>
      <c r="F120" s="75"/>
      <c r="G120" s="75"/>
      <c r="H120" s="75"/>
      <c r="I120" s="85"/>
      <c r="J120" s="85"/>
      <c r="K120" s="86"/>
      <c r="L120" s="86"/>
      <c r="M120" s="86"/>
      <c r="N120" s="86"/>
      <c r="O120" s="87">
        <f t="shared" si="6"/>
        <v>0</v>
      </c>
      <c r="P120" s="87">
        <f t="shared" si="7"/>
        <v>0</v>
      </c>
    </row>
    <row r="121" spans="1:16" x14ac:dyDescent="0.2">
      <c r="A121" s="75"/>
      <c r="B121" s="75"/>
      <c r="C121" s="75"/>
      <c r="D121" s="75"/>
      <c r="E121" s="75"/>
      <c r="F121" s="75"/>
      <c r="G121" s="75"/>
      <c r="H121" s="75"/>
      <c r="I121" s="85"/>
      <c r="J121" s="85"/>
      <c r="K121" s="86"/>
      <c r="L121" s="86"/>
      <c r="M121" s="86"/>
      <c r="N121" s="86"/>
      <c r="O121" s="87">
        <f t="shared" si="4"/>
        <v>0</v>
      </c>
      <c r="P121" s="87">
        <f t="shared" si="5"/>
        <v>0</v>
      </c>
    </row>
    <row r="122" spans="1:16" x14ac:dyDescent="0.2">
      <c r="A122" s="75"/>
      <c r="B122" s="75"/>
      <c r="C122" s="75"/>
      <c r="D122" s="75"/>
      <c r="E122" s="75"/>
      <c r="F122" s="75"/>
      <c r="G122" s="75"/>
      <c r="H122" s="75"/>
      <c r="I122" s="85"/>
      <c r="J122" s="85"/>
      <c r="K122" s="86"/>
      <c r="L122" s="86"/>
      <c r="M122" s="86"/>
      <c r="N122" s="86"/>
      <c r="O122" s="87">
        <f t="shared" si="4"/>
        <v>0</v>
      </c>
      <c r="P122" s="87">
        <f t="shared" si="5"/>
        <v>0</v>
      </c>
    </row>
    <row r="123" spans="1:16" x14ac:dyDescent="0.2">
      <c r="A123" s="75"/>
      <c r="B123" s="75"/>
      <c r="C123" s="75"/>
      <c r="D123" s="75"/>
      <c r="E123" s="75"/>
      <c r="F123" s="75"/>
      <c r="G123" s="75"/>
      <c r="H123" s="75"/>
      <c r="I123" s="85"/>
      <c r="J123" s="85"/>
      <c r="K123" s="86"/>
      <c r="L123" s="86"/>
      <c r="M123" s="86"/>
      <c r="N123" s="86"/>
      <c r="O123" s="87">
        <f t="shared" si="4"/>
        <v>0</v>
      </c>
      <c r="P123" s="87">
        <f t="shared" si="5"/>
        <v>0</v>
      </c>
    </row>
    <row r="124" spans="1:16" x14ac:dyDescent="0.2">
      <c r="A124" s="75"/>
      <c r="B124" s="75"/>
      <c r="C124" s="75"/>
      <c r="D124" s="75"/>
      <c r="E124" s="75"/>
      <c r="F124" s="75"/>
      <c r="G124" s="75"/>
      <c r="H124" s="75"/>
      <c r="I124" s="85"/>
      <c r="J124" s="85"/>
      <c r="K124" s="86"/>
      <c r="L124" s="86"/>
      <c r="M124" s="86"/>
      <c r="N124" s="86"/>
      <c r="O124" s="87">
        <f t="shared" si="4"/>
        <v>0</v>
      </c>
      <c r="P124" s="87">
        <f t="shared" si="5"/>
        <v>0</v>
      </c>
    </row>
    <row r="125" spans="1:16" x14ac:dyDescent="0.2">
      <c r="A125" s="75"/>
      <c r="B125" s="75"/>
      <c r="C125" s="75"/>
      <c r="D125" s="75"/>
      <c r="E125" s="75"/>
      <c r="F125" s="75"/>
      <c r="G125" s="75"/>
      <c r="H125" s="75"/>
      <c r="I125" s="85"/>
      <c r="J125" s="85"/>
      <c r="K125" s="86"/>
      <c r="L125" s="86"/>
      <c r="M125" s="86"/>
      <c r="N125" s="86"/>
      <c r="O125" s="87">
        <f t="shared" si="4"/>
        <v>0</v>
      </c>
      <c r="P125" s="87">
        <f t="shared" si="5"/>
        <v>0</v>
      </c>
    </row>
    <row r="126" spans="1:16" x14ac:dyDescent="0.2">
      <c r="A126" s="75"/>
      <c r="B126" s="75"/>
      <c r="C126" s="75"/>
      <c r="D126" s="75"/>
      <c r="E126" s="75"/>
      <c r="F126" s="75"/>
      <c r="G126" s="75"/>
      <c r="H126" s="75"/>
      <c r="I126" s="85"/>
      <c r="J126" s="85"/>
      <c r="K126" s="86"/>
      <c r="L126" s="86"/>
      <c r="M126" s="86"/>
      <c r="N126" s="86"/>
      <c r="O126" s="87">
        <f t="shared" si="4"/>
        <v>0</v>
      </c>
      <c r="P126" s="87">
        <f t="shared" si="5"/>
        <v>0</v>
      </c>
    </row>
    <row r="127" spans="1:16" x14ac:dyDescent="0.2">
      <c r="A127" s="75"/>
      <c r="B127" s="75"/>
      <c r="C127" s="75"/>
      <c r="D127" s="75"/>
      <c r="E127" s="75"/>
      <c r="F127" s="75"/>
      <c r="G127" s="75"/>
      <c r="H127" s="75"/>
      <c r="I127" s="85"/>
      <c r="J127" s="85"/>
      <c r="K127" s="86"/>
      <c r="L127" s="86"/>
      <c r="M127" s="86"/>
      <c r="N127" s="86"/>
      <c r="O127" s="87">
        <f t="shared" si="4"/>
        <v>0</v>
      </c>
      <c r="P127" s="87">
        <f t="shared" si="5"/>
        <v>0</v>
      </c>
    </row>
    <row r="128" spans="1:16" x14ac:dyDescent="0.2">
      <c r="A128" s="75"/>
      <c r="B128" s="75"/>
      <c r="C128" s="75"/>
      <c r="D128" s="75"/>
      <c r="E128" s="75"/>
      <c r="F128" s="75"/>
      <c r="G128" s="75"/>
      <c r="H128" s="75"/>
      <c r="I128" s="85"/>
      <c r="J128" s="85"/>
      <c r="K128" s="86"/>
      <c r="L128" s="86"/>
      <c r="M128" s="86"/>
      <c r="N128" s="86"/>
      <c r="O128" s="87">
        <f t="shared" si="4"/>
        <v>0</v>
      </c>
      <c r="P128" s="87">
        <f t="shared" si="5"/>
        <v>0</v>
      </c>
    </row>
    <row r="129" spans="1:16" x14ac:dyDescent="0.2">
      <c r="A129" s="75"/>
      <c r="B129" s="75"/>
      <c r="C129" s="75"/>
      <c r="D129" s="75"/>
      <c r="E129" s="75"/>
      <c r="F129" s="75"/>
      <c r="G129" s="75"/>
      <c r="H129" s="75"/>
      <c r="I129" s="85"/>
      <c r="J129" s="85"/>
      <c r="K129" s="86"/>
      <c r="L129" s="86"/>
      <c r="M129" s="86"/>
      <c r="N129" s="86"/>
      <c r="O129" s="87">
        <f t="shared" si="4"/>
        <v>0</v>
      </c>
      <c r="P129" s="87">
        <f t="shared" si="5"/>
        <v>0</v>
      </c>
    </row>
    <row r="130" spans="1:16" x14ac:dyDescent="0.2">
      <c r="A130" s="75"/>
      <c r="B130" s="75"/>
      <c r="C130" s="75"/>
      <c r="D130" s="75"/>
      <c r="E130" s="75"/>
      <c r="F130" s="75"/>
      <c r="G130" s="75"/>
      <c r="H130" s="75"/>
      <c r="I130" s="85"/>
      <c r="J130" s="85"/>
      <c r="K130" s="86"/>
      <c r="L130" s="86"/>
      <c r="M130" s="86"/>
      <c r="N130" s="86"/>
      <c r="O130" s="87">
        <f t="shared" si="4"/>
        <v>0</v>
      </c>
      <c r="P130" s="87">
        <f t="shared" si="5"/>
        <v>0</v>
      </c>
    </row>
    <row r="131" spans="1:16" x14ac:dyDescent="0.2">
      <c r="A131" s="75"/>
      <c r="B131" s="75"/>
      <c r="C131" s="75"/>
      <c r="D131" s="75"/>
      <c r="E131" s="75"/>
      <c r="F131" s="75"/>
      <c r="G131" s="75"/>
      <c r="H131" s="75"/>
      <c r="I131" s="85"/>
      <c r="J131" s="85"/>
      <c r="K131" s="86"/>
      <c r="L131" s="86"/>
      <c r="M131" s="86"/>
      <c r="N131" s="86"/>
      <c r="O131" s="87">
        <f t="shared" si="4"/>
        <v>0</v>
      </c>
      <c r="P131" s="87">
        <f t="shared" si="5"/>
        <v>0</v>
      </c>
    </row>
    <row r="132" spans="1:16" x14ac:dyDescent="0.2">
      <c r="A132" s="75"/>
      <c r="B132" s="75"/>
      <c r="C132" s="75"/>
      <c r="D132" s="75"/>
      <c r="E132" s="75"/>
      <c r="F132" s="75"/>
      <c r="G132" s="75"/>
      <c r="H132" s="75"/>
      <c r="I132" s="85"/>
      <c r="J132" s="85"/>
      <c r="K132" s="86"/>
      <c r="L132" s="86"/>
      <c r="M132" s="86"/>
      <c r="N132" s="86"/>
      <c r="O132" s="87">
        <f t="shared" si="4"/>
        <v>0</v>
      </c>
      <c r="P132" s="87">
        <f t="shared" si="5"/>
        <v>0</v>
      </c>
    </row>
    <row r="133" spans="1:16" x14ac:dyDescent="0.2">
      <c r="A133" s="75"/>
      <c r="B133" s="75"/>
      <c r="C133" s="75"/>
      <c r="D133" s="75"/>
      <c r="E133" s="75"/>
      <c r="F133" s="75"/>
      <c r="G133" s="75"/>
      <c r="H133" s="75"/>
      <c r="I133" s="85"/>
      <c r="J133" s="85"/>
      <c r="K133" s="86"/>
      <c r="L133" s="86"/>
      <c r="M133" s="86"/>
      <c r="N133" s="86"/>
      <c r="O133" s="87">
        <f t="shared" si="4"/>
        <v>0</v>
      </c>
      <c r="P133" s="87">
        <f t="shared" si="5"/>
        <v>0</v>
      </c>
    </row>
    <row r="134" spans="1:16" x14ac:dyDescent="0.2">
      <c r="A134" s="75"/>
      <c r="B134" s="75"/>
      <c r="C134" s="75"/>
      <c r="D134" s="75"/>
      <c r="E134" s="75"/>
      <c r="F134" s="75"/>
      <c r="G134" s="75"/>
      <c r="H134" s="75"/>
      <c r="I134" s="85"/>
      <c r="J134" s="85"/>
      <c r="K134" s="86"/>
      <c r="L134" s="86"/>
      <c r="M134" s="86"/>
      <c r="N134" s="86"/>
      <c r="O134" s="87">
        <f t="shared" si="4"/>
        <v>0</v>
      </c>
      <c r="P134" s="87">
        <f t="shared" si="5"/>
        <v>0</v>
      </c>
    </row>
    <row r="135" spans="1:16" x14ac:dyDescent="0.2">
      <c r="A135" s="75"/>
      <c r="B135" s="75"/>
      <c r="C135" s="75"/>
      <c r="D135" s="75"/>
      <c r="E135" s="75"/>
      <c r="F135" s="75"/>
      <c r="G135" s="75"/>
      <c r="H135" s="75"/>
      <c r="I135" s="85"/>
      <c r="J135" s="85"/>
      <c r="K135" s="86"/>
      <c r="L135" s="86"/>
      <c r="M135" s="86"/>
      <c r="N135" s="86"/>
      <c r="O135" s="87">
        <f t="shared" si="4"/>
        <v>0</v>
      </c>
      <c r="P135" s="87">
        <f t="shared" si="5"/>
        <v>0</v>
      </c>
    </row>
    <row r="136" spans="1:16" x14ac:dyDescent="0.2">
      <c r="A136" s="75"/>
      <c r="B136" s="75"/>
      <c r="C136" s="75"/>
      <c r="D136" s="75"/>
      <c r="E136" s="75"/>
      <c r="F136" s="75"/>
      <c r="G136" s="75"/>
      <c r="H136" s="75"/>
      <c r="I136" s="85"/>
      <c r="J136" s="85"/>
      <c r="K136" s="86"/>
      <c r="L136" s="86"/>
      <c r="M136" s="86"/>
      <c r="N136" s="86"/>
      <c r="O136" s="87">
        <f t="shared" si="4"/>
        <v>0</v>
      </c>
      <c r="P136" s="87">
        <f t="shared" si="5"/>
        <v>0</v>
      </c>
    </row>
    <row r="137" spans="1:16" x14ac:dyDescent="0.2">
      <c r="A137" s="75"/>
      <c r="B137" s="75"/>
      <c r="C137" s="75"/>
      <c r="D137" s="75"/>
      <c r="E137" s="75"/>
      <c r="F137" s="75"/>
      <c r="G137" s="75"/>
      <c r="H137" s="75"/>
      <c r="I137" s="85"/>
      <c r="J137" s="85"/>
      <c r="K137" s="86"/>
      <c r="L137" s="86"/>
      <c r="M137" s="86"/>
      <c r="N137" s="86"/>
      <c r="O137" s="87">
        <f t="shared" si="4"/>
        <v>0</v>
      </c>
      <c r="P137" s="87">
        <f t="shared" si="5"/>
        <v>0</v>
      </c>
    </row>
    <row r="138" spans="1:16" x14ac:dyDescent="0.2">
      <c r="A138" s="75"/>
      <c r="B138" s="75"/>
      <c r="C138" s="75"/>
      <c r="D138" s="75"/>
      <c r="E138" s="75"/>
      <c r="F138" s="75"/>
      <c r="G138" s="75"/>
      <c r="H138" s="75"/>
      <c r="I138" s="85"/>
      <c r="J138" s="85"/>
      <c r="K138" s="86"/>
      <c r="L138" s="86"/>
      <c r="M138" s="86"/>
      <c r="N138" s="86"/>
      <c r="O138" s="87">
        <f t="shared" si="4"/>
        <v>0</v>
      </c>
      <c r="P138" s="87">
        <f t="shared" si="5"/>
        <v>0</v>
      </c>
    </row>
    <row r="139" spans="1:16" x14ac:dyDescent="0.2">
      <c r="A139" s="75"/>
      <c r="B139" s="75"/>
      <c r="C139" s="75"/>
      <c r="D139" s="75"/>
      <c r="E139" s="75"/>
      <c r="F139" s="75"/>
      <c r="G139" s="75"/>
      <c r="H139" s="75"/>
      <c r="I139" s="85"/>
      <c r="J139" s="85"/>
      <c r="K139" s="86"/>
      <c r="L139" s="86"/>
      <c r="M139" s="86"/>
      <c r="N139" s="86"/>
      <c r="O139" s="87">
        <f t="shared" si="4"/>
        <v>0</v>
      </c>
      <c r="P139" s="87">
        <f t="shared" si="5"/>
        <v>0</v>
      </c>
    </row>
    <row r="140" spans="1:16" x14ac:dyDescent="0.2">
      <c r="A140" s="75"/>
      <c r="B140" s="75"/>
      <c r="C140" s="75"/>
      <c r="D140" s="75"/>
      <c r="E140" s="75"/>
      <c r="F140" s="75"/>
      <c r="G140" s="75"/>
      <c r="H140" s="75"/>
      <c r="I140" s="85"/>
      <c r="J140" s="85"/>
      <c r="K140" s="86"/>
      <c r="L140" s="86"/>
      <c r="M140" s="86"/>
      <c r="N140" s="86"/>
      <c r="O140" s="87">
        <f t="shared" si="4"/>
        <v>0</v>
      </c>
      <c r="P140" s="87">
        <f t="shared" si="5"/>
        <v>0</v>
      </c>
    </row>
    <row r="141" spans="1:16" x14ac:dyDescent="0.2">
      <c r="A141" s="75"/>
      <c r="B141" s="75"/>
      <c r="C141" s="75"/>
      <c r="D141" s="75"/>
      <c r="E141" s="75"/>
      <c r="F141" s="75"/>
      <c r="G141" s="75"/>
      <c r="H141" s="75"/>
      <c r="I141" s="85"/>
      <c r="J141" s="85"/>
      <c r="K141" s="86"/>
      <c r="L141" s="86"/>
      <c r="M141" s="86"/>
      <c r="N141" s="86"/>
      <c r="O141" s="87">
        <f t="shared" si="4"/>
        <v>0</v>
      </c>
      <c r="P141" s="87">
        <f t="shared" si="5"/>
        <v>0</v>
      </c>
    </row>
    <row r="142" spans="1:16" x14ac:dyDescent="0.2">
      <c r="A142" s="75"/>
      <c r="B142" s="75"/>
      <c r="C142" s="75"/>
      <c r="D142" s="75"/>
      <c r="E142" s="75"/>
      <c r="F142" s="75"/>
      <c r="G142" s="75"/>
      <c r="H142" s="75"/>
      <c r="I142" s="85"/>
      <c r="J142" s="85"/>
      <c r="K142" s="86"/>
      <c r="L142" s="86"/>
      <c r="M142" s="86"/>
      <c r="N142" s="86"/>
      <c r="O142" s="87">
        <f t="shared" si="4"/>
        <v>0</v>
      </c>
      <c r="P142" s="87">
        <f t="shared" si="5"/>
        <v>0</v>
      </c>
    </row>
    <row r="143" spans="1:16" x14ac:dyDescent="0.2">
      <c r="A143" s="75"/>
      <c r="B143" s="75"/>
      <c r="C143" s="75"/>
      <c r="D143" s="75"/>
      <c r="E143" s="75"/>
      <c r="F143" s="75"/>
      <c r="G143" s="75"/>
      <c r="H143" s="75"/>
      <c r="I143" s="85"/>
      <c r="J143" s="85"/>
      <c r="K143" s="86"/>
      <c r="L143" s="86"/>
      <c r="M143" s="86"/>
      <c r="N143" s="86"/>
      <c r="O143" s="87">
        <f t="shared" si="4"/>
        <v>0</v>
      </c>
      <c r="P143" s="87">
        <f t="shared" si="5"/>
        <v>0</v>
      </c>
    </row>
    <row r="144" spans="1:16" x14ac:dyDescent="0.2">
      <c r="A144" s="75"/>
      <c r="B144" s="75"/>
      <c r="C144" s="75"/>
      <c r="D144" s="75"/>
      <c r="E144" s="75"/>
      <c r="F144" s="75"/>
      <c r="G144" s="75"/>
      <c r="H144" s="75"/>
      <c r="I144" s="85"/>
      <c r="J144" s="85"/>
      <c r="K144" s="86"/>
      <c r="L144" s="86"/>
      <c r="M144" s="86"/>
      <c r="N144" s="86"/>
      <c r="O144" s="87">
        <f t="shared" si="4"/>
        <v>0</v>
      </c>
      <c r="P144" s="87">
        <f t="shared" si="5"/>
        <v>0</v>
      </c>
    </row>
    <row r="145" spans="1:16" x14ac:dyDescent="0.2">
      <c r="A145" s="75"/>
      <c r="B145" s="75"/>
      <c r="C145" s="75"/>
      <c r="D145" s="75"/>
      <c r="E145" s="75"/>
      <c r="F145" s="75"/>
      <c r="G145" s="75"/>
      <c r="H145" s="75"/>
      <c r="I145" s="85"/>
      <c r="J145" s="85"/>
      <c r="K145" s="86"/>
      <c r="L145" s="86"/>
      <c r="M145" s="86"/>
      <c r="N145" s="86"/>
      <c r="O145" s="87">
        <f t="shared" si="4"/>
        <v>0</v>
      </c>
      <c r="P145" s="87">
        <f t="shared" si="5"/>
        <v>0</v>
      </c>
    </row>
    <row r="146" spans="1:16" x14ac:dyDescent="0.2">
      <c r="A146" s="75"/>
      <c r="B146" s="75"/>
      <c r="C146" s="75"/>
      <c r="D146" s="75"/>
      <c r="E146" s="75"/>
      <c r="F146" s="75"/>
      <c r="G146" s="75"/>
      <c r="H146" s="75"/>
      <c r="I146" s="85"/>
      <c r="J146" s="85"/>
      <c r="K146" s="86"/>
      <c r="L146" s="86"/>
      <c r="M146" s="86"/>
      <c r="N146" s="86"/>
      <c r="O146" s="87">
        <f t="shared" si="4"/>
        <v>0</v>
      </c>
      <c r="P146" s="87">
        <f t="shared" si="5"/>
        <v>0</v>
      </c>
    </row>
    <row r="147" spans="1:16" x14ac:dyDescent="0.2">
      <c r="A147" s="75"/>
      <c r="B147" s="75"/>
      <c r="C147" s="75"/>
      <c r="D147" s="75"/>
      <c r="E147" s="75"/>
      <c r="F147" s="75"/>
      <c r="G147" s="75"/>
      <c r="H147" s="75"/>
      <c r="I147" s="85"/>
      <c r="J147" s="85"/>
      <c r="K147" s="86"/>
      <c r="L147" s="86"/>
      <c r="M147" s="86"/>
      <c r="N147" s="86"/>
      <c r="O147" s="87">
        <f t="shared" si="4"/>
        <v>0</v>
      </c>
      <c r="P147" s="87">
        <f t="shared" si="5"/>
        <v>0</v>
      </c>
    </row>
    <row r="148" spans="1:16" x14ac:dyDescent="0.2">
      <c r="A148" s="75"/>
      <c r="B148" s="75"/>
      <c r="C148" s="75"/>
      <c r="D148" s="75"/>
      <c r="E148" s="75"/>
      <c r="F148" s="75"/>
      <c r="G148" s="75"/>
      <c r="H148" s="75"/>
      <c r="I148" s="85"/>
      <c r="J148" s="85"/>
      <c r="K148" s="86"/>
      <c r="L148" s="86"/>
      <c r="M148" s="86"/>
      <c r="N148" s="86"/>
      <c r="O148" s="87">
        <f t="shared" si="4"/>
        <v>0</v>
      </c>
      <c r="P148" s="87">
        <f t="shared" si="5"/>
        <v>0</v>
      </c>
    </row>
    <row r="149" spans="1:16" x14ac:dyDescent="0.2">
      <c r="A149" s="75"/>
      <c r="B149" s="75"/>
      <c r="C149" s="75"/>
      <c r="D149" s="75"/>
      <c r="E149" s="75"/>
      <c r="F149" s="75"/>
      <c r="G149" s="75"/>
      <c r="H149" s="75"/>
      <c r="I149" s="85"/>
      <c r="J149" s="85"/>
      <c r="K149" s="86"/>
      <c r="L149" s="86"/>
      <c r="M149" s="86"/>
      <c r="N149" s="86"/>
      <c r="O149" s="87">
        <f t="shared" si="4"/>
        <v>0</v>
      </c>
      <c r="P149" s="87">
        <f t="shared" si="5"/>
        <v>0</v>
      </c>
    </row>
    <row r="150" spans="1:16" x14ac:dyDescent="0.2">
      <c r="A150" s="75"/>
      <c r="B150" s="75"/>
      <c r="C150" s="75"/>
      <c r="D150" s="75"/>
      <c r="E150" s="75"/>
      <c r="F150" s="75"/>
      <c r="G150" s="75"/>
      <c r="H150" s="75"/>
      <c r="I150" s="85"/>
      <c r="J150" s="85"/>
      <c r="K150" s="86"/>
      <c r="L150" s="86"/>
      <c r="M150" s="86"/>
      <c r="N150" s="86"/>
      <c r="O150" s="87">
        <f t="shared" si="4"/>
        <v>0</v>
      </c>
      <c r="P150" s="87">
        <f t="shared" si="5"/>
        <v>0</v>
      </c>
    </row>
    <row r="151" spans="1:16" x14ac:dyDescent="0.2">
      <c r="A151" s="75"/>
      <c r="B151" s="75"/>
      <c r="C151" s="75"/>
      <c r="D151" s="75"/>
      <c r="E151" s="75"/>
      <c r="F151" s="75"/>
      <c r="G151" s="75"/>
      <c r="H151" s="75"/>
      <c r="I151" s="85"/>
      <c r="J151" s="85"/>
      <c r="K151" s="86"/>
      <c r="L151" s="86"/>
      <c r="M151" s="86"/>
      <c r="N151" s="86"/>
      <c r="O151" s="87">
        <f t="shared" si="4"/>
        <v>0</v>
      </c>
      <c r="P151" s="87">
        <f t="shared" si="5"/>
        <v>0</v>
      </c>
    </row>
    <row r="152" spans="1:16" x14ac:dyDescent="0.2">
      <c r="A152" s="75"/>
      <c r="B152" s="75"/>
      <c r="C152" s="75"/>
      <c r="D152" s="75"/>
      <c r="E152" s="75"/>
      <c r="F152" s="75"/>
      <c r="G152" s="75"/>
      <c r="H152" s="75"/>
      <c r="I152" s="85"/>
      <c r="J152" s="85"/>
      <c r="K152" s="86"/>
      <c r="L152" s="86"/>
      <c r="M152" s="86"/>
      <c r="N152" s="86"/>
      <c r="O152" s="87">
        <f t="shared" si="4"/>
        <v>0</v>
      </c>
      <c r="P152" s="87">
        <f t="shared" si="5"/>
        <v>0</v>
      </c>
    </row>
    <row r="153" spans="1:16" x14ac:dyDescent="0.2">
      <c r="A153" s="75"/>
      <c r="B153" s="75"/>
      <c r="C153" s="75"/>
      <c r="D153" s="75"/>
      <c r="E153" s="75"/>
      <c r="F153" s="75"/>
      <c r="G153" s="75"/>
      <c r="H153" s="75"/>
      <c r="I153" s="85"/>
      <c r="J153" s="86"/>
      <c r="K153" s="86"/>
      <c r="L153" s="86"/>
      <c r="M153" s="86"/>
      <c r="N153" s="86"/>
      <c r="O153" s="87">
        <f t="shared" ref="O153:O177" si="8">+K153*N153^2</f>
        <v>0</v>
      </c>
      <c r="P153" s="87">
        <f>+L153*N153^2</f>
        <v>0</v>
      </c>
    </row>
    <row r="154" spans="1:16" x14ac:dyDescent="0.2">
      <c r="A154" s="75"/>
      <c r="B154" s="75"/>
      <c r="C154" s="75"/>
      <c r="D154" s="75"/>
      <c r="E154" s="75"/>
      <c r="F154" s="75"/>
      <c r="G154" s="75"/>
      <c r="H154" s="75"/>
      <c r="I154" s="85"/>
      <c r="J154" s="86"/>
      <c r="K154" s="86"/>
      <c r="L154" s="86"/>
      <c r="M154" s="86"/>
      <c r="N154" s="86"/>
      <c r="O154" s="87">
        <f t="shared" si="8"/>
        <v>0</v>
      </c>
      <c r="P154" s="87">
        <f>+L154*N154^2</f>
        <v>0</v>
      </c>
    </row>
    <row r="155" spans="1:16" x14ac:dyDescent="0.2">
      <c r="A155" s="75"/>
      <c r="B155" s="75"/>
      <c r="C155" s="75"/>
      <c r="D155" s="75"/>
      <c r="E155" s="75"/>
      <c r="F155" s="75"/>
      <c r="G155" s="75"/>
      <c r="H155" s="75"/>
      <c r="I155" s="85"/>
      <c r="J155" s="86"/>
      <c r="K155" s="86"/>
      <c r="L155" s="86"/>
      <c r="M155" s="86"/>
      <c r="N155" s="86"/>
      <c r="O155" s="87">
        <f t="shared" si="8"/>
        <v>0</v>
      </c>
      <c r="P155" s="87">
        <f>+L155*N155^2</f>
        <v>0</v>
      </c>
    </row>
    <row r="156" spans="1:16" x14ac:dyDescent="0.2">
      <c r="A156" s="75"/>
      <c r="B156" s="75"/>
      <c r="C156" s="75"/>
      <c r="D156" s="75"/>
      <c r="E156" s="75"/>
      <c r="F156" s="75"/>
      <c r="G156" s="75"/>
      <c r="H156" s="75"/>
      <c r="I156" s="85"/>
      <c r="J156" s="86"/>
      <c r="K156" s="86"/>
      <c r="L156" s="86"/>
      <c r="M156" s="86"/>
      <c r="N156" s="86"/>
      <c r="O156" s="87">
        <f t="shared" si="8"/>
        <v>0</v>
      </c>
      <c r="P156" s="87">
        <f>+L156*N156^2</f>
        <v>0</v>
      </c>
    </row>
    <row r="157" spans="1:16" x14ac:dyDescent="0.2">
      <c r="A157" s="75"/>
      <c r="B157" s="75"/>
      <c r="C157" s="75"/>
      <c r="D157" s="75"/>
      <c r="E157" s="75"/>
      <c r="F157" s="75"/>
      <c r="G157" s="75"/>
      <c r="H157" s="75"/>
      <c r="I157" s="85"/>
      <c r="J157" s="85"/>
      <c r="K157" s="86"/>
      <c r="L157" s="86"/>
      <c r="M157" s="86"/>
      <c r="N157" s="86"/>
      <c r="O157" s="87">
        <f t="shared" si="8"/>
        <v>0</v>
      </c>
      <c r="P157" s="87">
        <f t="shared" ref="P157:P176" si="9">+L157*N157^2</f>
        <v>0</v>
      </c>
    </row>
    <row r="158" spans="1:16" x14ac:dyDescent="0.2">
      <c r="A158" s="75"/>
      <c r="B158" s="75"/>
      <c r="C158" s="75"/>
      <c r="D158" s="75"/>
      <c r="E158" s="75"/>
      <c r="F158" s="75"/>
      <c r="G158" s="75"/>
      <c r="H158" s="75"/>
      <c r="I158" s="85"/>
      <c r="J158" s="85"/>
      <c r="K158" s="86"/>
      <c r="L158" s="86"/>
      <c r="M158" s="86"/>
      <c r="N158" s="86"/>
      <c r="O158" s="87">
        <f t="shared" si="8"/>
        <v>0</v>
      </c>
      <c r="P158" s="87">
        <f t="shared" si="9"/>
        <v>0</v>
      </c>
    </row>
    <row r="159" spans="1:16" x14ac:dyDescent="0.2">
      <c r="A159" s="75"/>
      <c r="B159" s="75"/>
      <c r="C159" s="75"/>
      <c r="D159" s="75"/>
      <c r="E159" s="75"/>
      <c r="F159" s="75"/>
      <c r="G159" s="75"/>
      <c r="H159" s="75"/>
      <c r="I159" s="85"/>
      <c r="J159" s="85"/>
      <c r="K159" s="86"/>
      <c r="L159" s="86"/>
      <c r="M159" s="86"/>
      <c r="N159" s="86"/>
      <c r="O159" s="87">
        <f t="shared" si="8"/>
        <v>0</v>
      </c>
      <c r="P159" s="87">
        <f t="shared" si="9"/>
        <v>0</v>
      </c>
    </row>
    <row r="160" spans="1:16" x14ac:dyDescent="0.2">
      <c r="A160" s="75"/>
      <c r="B160" s="75"/>
      <c r="C160" s="75"/>
      <c r="D160" s="75"/>
      <c r="E160" s="75"/>
      <c r="F160" s="75"/>
      <c r="G160" s="75"/>
      <c r="H160" s="75"/>
      <c r="I160" s="85"/>
      <c r="J160" s="85"/>
      <c r="K160" s="86"/>
      <c r="L160" s="86"/>
      <c r="M160" s="86"/>
      <c r="N160" s="86"/>
      <c r="O160" s="87">
        <f t="shared" si="8"/>
        <v>0</v>
      </c>
      <c r="P160" s="87">
        <f t="shared" si="9"/>
        <v>0</v>
      </c>
    </row>
    <row r="161" spans="1:16" x14ac:dyDescent="0.2">
      <c r="A161" s="75"/>
      <c r="B161" s="75"/>
      <c r="C161" s="75"/>
      <c r="D161" s="75"/>
      <c r="E161" s="75"/>
      <c r="F161" s="75"/>
      <c r="G161" s="75"/>
      <c r="H161" s="75"/>
      <c r="I161" s="85"/>
      <c r="J161" s="85"/>
      <c r="K161" s="86"/>
      <c r="L161" s="86"/>
      <c r="M161" s="86"/>
      <c r="N161" s="86"/>
      <c r="O161" s="87">
        <f t="shared" si="8"/>
        <v>0</v>
      </c>
      <c r="P161" s="87">
        <f t="shared" si="9"/>
        <v>0</v>
      </c>
    </row>
    <row r="162" spans="1:16" x14ac:dyDescent="0.2">
      <c r="A162" s="75"/>
      <c r="B162" s="75"/>
      <c r="C162" s="75"/>
      <c r="D162" s="75"/>
      <c r="E162" s="75"/>
      <c r="F162" s="75"/>
      <c r="G162" s="75"/>
      <c r="H162" s="75"/>
      <c r="I162" s="85"/>
      <c r="J162" s="85"/>
      <c r="K162" s="86"/>
      <c r="L162" s="86"/>
      <c r="M162" s="86"/>
      <c r="N162" s="86"/>
      <c r="O162" s="87">
        <f t="shared" si="8"/>
        <v>0</v>
      </c>
      <c r="P162" s="87">
        <f t="shared" si="9"/>
        <v>0</v>
      </c>
    </row>
    <row r="163" spans="1:16" x14ac:dyDescent="0.2">
      <c r="A163" s="75"/>
      <c r="B163" s="75"/>
      <c r="C163" s="75"/>
      <c r="D163" s="75"/>
      <c r="E163" s="75"/>
      <c r="F163" s="75"/>
      <c r="G163" s="75"/>
      <c r="H163" s="75"/>
      <c r="I163" s="85"/>
      <c r="J163" s="85"/>
      <c r="K163" s="86"/>
      <c r="L163" s="86"/>
      <c r="M163" s="86"/>
      <c r="N163" s="86"/>
      <c r="O163" s="87">
        <f t="shared" si="8"/>
        <v>0</v>
      </c>
      <c r="P163" s="87">
        <f t="shared" si="9"/>
        <v>0</v>
      </c>
    </row>
    <row r="164" spans="1:16" x14ac:dyDescent="0.2">
      <c r="A164" s="75"/>
      <c r="B164" s="75"/>
      <c r="C164" s="75"/>
      <c r="D164" s="75"/>
      <c r="E164" s="75"/>
      <c r="F164" s="75"/>
      <c r="G164" s="75"/>
      <c r="H164" s="75"/>
      <c r="I164" s="85"/>
      <c r="J164" s="85"/>
      <c r="K164" s="86"/>
      <c r="L164" s="86"/>
      <c r="M164" s="86"/>
      <c r="N164" s="86"/>
      <c r="O164" s="87">
        <f t="shared" si="8"/>
        <v>0</v>
      </c>
      <c r="P164" s="87">
        <f t="shared" si="9"/>
        <v>0</v>
      </c>
    </row>
    <row r="165" spans="1:16" x14ac:dyDescent="0.2">
      <c r="A165" s="75"/>
      <c r="B165" s="75"/>
      <c r="C165" s="75"/>
      <c r="D165" s="75"/>
      <c r="E165" s="75"/>
      <c r="F165" s="75"/>
      <c r="G165" s="75"/>
      <c r="H165" s="75"/>
      <c r="I165" s="85"/>
      <c r="J165" s="85"/>
      <c r="K165" s="86"/>
      <c r="L165" s="86"/>
      <c r="M165" s="86"/>
      <c r="N165" s="86"/>
      <c r="O165" s="87">
        <f t="shared" si="8"/>
        <v>0</v>
      </c>
      <c r="P165" s="87">
        <f t="shared" si="9"/>
        <v>0</v>
      </c>
    </row>
    <row r="166" spans="1:16" x14ac:dyDescent="0.2">
      <c r="A166" s="75"/>
      <c r="B166" s="75"/>
      <c r="C166" s="75"/>
      <c r="D166" s="75"/>
      <c r="E166" s="75"/>
      <c r="F166" s="75"/>
      <c r="G166" s="75"/>
      <c r="H166" s="75"/>
      <c r="I166" s="85"/>
      <c r="J166" s="85"/>
      <c r="K166" s="86"/>
      <c r="L166" s="86"/>
      <c r="M166" s="86"/>
      <c r="N166" s="86"/>
      <c r="O166" s="87">
        <f t="shared" si="8"/>
        <v>0</v>
      </c>
      <c r="P166" s="87">
        <f t="shared" si="9"/>
        <v>0</v>
      </c>
    </row>
    <row r="167" spans="1:16" x14ac:dyDescent="0.2">
      <c r="A167" s="75"/>
      <c r="B167" s="75"/>
      <c r="C167" s="75"/>
      <c r="D167" s="75"/>
      <c r="E167" s="75"/>
      <c r="F167" s="75"/>
      <c r="G167" s="75"/>
      <c r="H167" s="75"/>
      <c r="I167" s="85"/>
      <c r="J167" s="85"/>
      <c r="K167" s="86"/>
      <c r="L167" s="86"/>
      <c r="M167" s="86"/>
      <c r="N167" s="86"/>
      <c r="O167" s="87">
        <f t="shared" si="8"/>
        <v>0</v>
      </c>
      <c r="P167" s="87">
        <f t="shared" si="9"/>
        <v>0</v>
      </c>
    </row>
    <row r="168" spans="1:16" x14ac:dyDescent="0.2">
      <c r="A168" s="75"/>
      <c r="B168" s="75"/>
      <c r="C168" s="75"/>
      <c r="D168" s="75"/>
      <c r="E168" s="75"/>
      <c r="F168" s="75"/>
      <c r="G168" s="75"/>
      <c r="H168" s="75"/>
      <c r="I168" s="85"/>
      <c r="J168" s="85"/>
      <c r="K168" s="86"/>
      <c r="L168" s="86"/>
      <c r="M168" s="86"/>
      <c r="N168" s="86"/>
      <c r="O168" s="87">
        <f t="shared" si="8"/>
        <v>0</v>
      </c>
      <c r="P168" s="87">
        <f t="shared" si="9"/>
        <v>0</v>
      </c>
    </row>
    <row r="169" spans="1:16" x14ac:dyDescent="0.2">
      <c r="A169" s="75"/>
      <c r="B169" s="75"/>
      <c r="C169" s="75"/>
      <c r="D169" s="75"/>
      <c r="E169" s="75"/>
      <c r="F169" s="75"/>
      <c r="G169" s="75"/>
      <c r="H169" s="75"/>
      <c r="I169" s="85"/>
      <c r="J169" s="85"/>
      <c r="K169" s="86"/>
      <c r="L169" s="86"/>
      <c r="M169" s="86"/>
      <c r="N169" s="86"/>
      <c r="O169" s="87">
        <f t="shared" si="8"/>
        <v>0</v>
      </c>
      <c r="P169" s="87">
        <f t="shared" si="9"/>
        <v>0</v>
      </c>
    </row>
    <row r="170" spans="1:16" x14ac:dyDescent="0.2">
      <c r="A170" s="75"/>
      <c r="B170" s="75"/>
      <c r="C170" s="75"/>
      <c r="D170" s="75"/>
      <c r="E170" s="75"/>
      <c r="F170" s="75"/>
      <c r="G170" s="75"/>
      <c r="H170" s="75"/>
      <c r="I170" s="85"/>
      <c r="J170" s="85"/>
      <c r="K170" s="86"/>
      <c r="L170" s="86"/>
      <c r="M170" s="86"/>
      <c r="N170" s="86"/>
      <c r="O170" s="87">
        <f t="shared" si="8"/>
        <v>0</v>
      </c>
      <c r="P170" s="87">
        <f t="shared" si="9"/>
        <v>0</v>
      </c>
    </row>
    <row r="171" spans="1:16" x14ac:dyDescent="0.2">
      <c r="A171" s="75"/>
      <c r="B171" s="75"/>
      <c r="C171" s="75"/>
      <c r="D171" s="75"/>
      <c r="E171" s="75"/>
      <c r="F171" s="75"/>
      <c r="G171" s="75"/>
      <c r="H171" s="75"/>
      <c r="I171" s="85"/>
      <c r="J171" s="85"/>
      <c r="K171" s="86"/>
      <c r="L171" s="86"/>
      <c r="M171" s="86"/>
      <c r="N171" s="86"/>
      <c r="O171" s="87">
        <f t="shared" si="8"/>
        <v>0</v>
      </c>
      <c r="P171" s="87">
        <f t="shared" si="9"/>
        <v>0</v>
      </c>
    </row>
    <row r="172" spans="1:16" x14ac:dyDescent="0.2">
      <c r="A172" s="75"/>
      <c r="B172" s="75"/>
      <c r="C172" s="75"/>
      <c r="D172" s="75"/>
      <c r="E172" s="75"/>
      <c r="F172" s="75"/>
      <c r="G172" s="75"/>
      <c r="H172" s="75"/>
      <c r="I172" s="85"/>
      <c r="J172" s="85"/>
      <c r="K172" s="86"/>
      <c r="L172" s="86"/>
      <c r="M172" s="86"/>
      <c r="N172" s="86"/>
      <c r="O172" s="87">
        <f t="shared" si="8"/>
        <v>0</v>
      </c>
      <c r="P172" s="87">
        <f t="shared" si="9"/>
        <v>0</v>
      </c>
    </row>
    <row r="173" spans="1:16" x14ac:dyDescent="0.2">
      <c r="A173" s="75"/>
      <c r="B173" s="75"/>
      <c r="C173" s="75"/>
      <c r="D173" s="75"/>
      <c r="E173" s="75"/>
      <c r="F173" s="75"/>
      <c r="G173" s="75"/>
      <c r="H173" s="75"/>
      <c r="I173" s="85"/>
      <c r="J173" s="85"/>
      <c r="K173" s="86"/>
      <c r="L173" s="86"/>
      <c r="M173" s="86"/>
      <c r="N173" s="86"/>
      <c r="O173" s="87">
        <f t="shared" si="8"/>
        <v>0</v>
      </c>
      <c r="P173" s="87">
        <f t="shared" si="9"/>
        <v>0</v>
      </c>
    </row>
    <row r="174" spans="1:16" x14ac:dyDescent="0.2">
      <c r="A174" s="75"/>
      <c r="B174" s="75"/>
      <c r="C174" s="75"/>
      <c r="D174" s="75"/>
      <c r="E174" s="75"/>
      <c r="F174" s="75"/>
      <c r="G174" s="75"/>
      <c r="H174" s="75"/>
      <c r="I174" s="85"/>
      <c r="J174" s="85"/>
      <c r="K174" s="86"/>
      <c r="L174" s="86"/>
      <c r="M174" s="86"/>
      <c r="N174" s="86"/>
      <c r="O174" s="87">
        <f t="shared" si="8"/>
        <v>0</v>
      </c>
      <c r="P174" s="87">
        <f t="shared" si="9"/>
        <v>0</v>
      </c>
    </row>
    <row r="175" spans="1:16" x14ac:dyDescent="0.2">
      <c r="A175" s="75"/>
      <c r="B175" s="75"/>
      <c r="C175" s="75"/>
      <c r="D175" s="75"/>
      <c r="E175" s="75"/>
      <c r="F175" s="75"/>
      <c r="G175" s="75"/>
      <c r="H175" s="75"/>
      <c r="I175" s="85"/>
      <c r="J175" s="85"/>
      <c r="K175" s="86"/>
      <c r="L175" s="86"/>
      <c r="M175" s="86"/>
      <c r="N175" s="86"/>
      <c r="O175" s="87">
        <f t="shared" si="8"/>
        <v>0</v>
      </c>
      <c r="P175" s="87">
        <f t="shared" si="9"/>
        <v>0</v>
      </c>
    </row>
    <row r="176" spans="1:16" x14ac:dyDescent="0.2">
      <c r="A176" s="75"/>
      <c r="B176" s="75"/>
      <c r="C176" s="75"/>
      <c r="D176" s="75"/>
      <c r="E176" s="75"/>
      <c r="F176" s="75"/>
      <c r="G176" s="75"/>
      <c r="H176" s="75"/>
      <c r="I176" s="85"/>
      <c r="J176" s="85"/>
      <c r="K176" s="86"/>
      <c r="L176" s="86"/>
      <c r="M176" s="86"/>
      <c r="N176" s="86"/>
      <c r="O176" s="87">
        <f t="shared" si="8"/>
        <v>0</v>
      </c>
      <c r="P176" s="87">
        <f t="shared" si="9"/>
        <v>0</v>
      </c>
    </row>
    <row r="177" spans="1:16" x14ac:dyDescent="0.2">
      <c r="A177" s="75"/>
      <c r="B177" s="75"/>
      <c r="C177" s="75"/>
      <c r="D177" s="75"/>
      <c r="E177" s="75"/>
      <c r="F177" s="75"/>
      <c r="G177" s="75"/>
      <c r="H177" s="75"/>
      <c r="I177" s="85"/>
      <c r="J177" s="86"/>
      <c r="K177" s="86"/>
      <c r="L177" s="86"/>
      <c r="M177" s="86"/>
      <c r="N177" s="86"/>
      <c r="O177" s="87">
        <f t="shared" si="8"/>
        <v>0</v>
      </c>
      <c r="P177" s="87">
        <f t="shared" si="5"/>
        <v>0</v>
      </c>
    </row>
    <row r="178" spans="1:16" x14ac:dyDescent="0.2">
      <c r="I178" s="77" t="s">
        <v>76</v>
      </c>
      <c r="J178"/>
      <c r="K178"/>
      <c r="L178"/>
      <c r="M178"/>
      <c r="N178"/>
      <c r="O178"/>
      <c r="P178"/>
    </row>
  </sheetData>
  <mergeCells count="4">
    <mergeCell ref="R28:U28"/>
    <mergeCell ref="B30:G30"/>
    <mergeCell ref="B31:G36"/>
    <mergeCell ref="B37:G37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49"/>
  <sheetViews>
    <sheetView tabSelected="1" workbookViewId="0">
      <selection activeCell="I14" sqref="I14"/>
    </sheetView>
  </sheetViews>
  <sheetFormatPr defaultRowHeight="12.75" x14ac:dyDescent="0.2"/>
  <cols>
    <col min="1" max="1" width="1.7109375" customWidth="1"/>
    <col min="2" max="2" width="10.5703125" customWidth="1"/>
    <col min="3" max="4" width="10.7109375" customWidth="1"/>
    <col min="5" max="6" width="8.85546875" customWidth="1"/>
    <col min="7" max="7" width="7.85546875" style="70" customWidth="1"/>
    <col min="8" max="8" width="13.85546875" customWidth="1"/>
    <col min="9" max="10" width="12.28515625" style="35" customWidth="1"/>
    <col min="11" max="11" width="9.85546875" style="36" customWidth="1"/>
    <col min="12" max="12" width="8.5703125" customWidth="1"/>
    <col min="13" max="13" width="9.28515625" customWidth="1"/>
    <col min="14" max="14" width="9.42578125" customWidth="1"/>
    <col min="15" max="15" width="7.7109375" customWidth="1"/>
    <col min="16" max="17" width="7.5703125" customWidth="1"/>
    <col min="18" max="18" width="9.7109375" bestFit="1" customWidth="1"/>
    <col min="20" max="20" width="9.7109375" bestFit="1" customWidth="1"/>
    <col min="22" max="22" width="10.7109375" bestFit="1" customWidth="1"/>
  </cols>
  <sheetData>
    <row r="1" spans="2:24" ht="33.75" customHeight="1" x14ac:dyDescent="0.2">
      <c r="B1" s="31" t="s">
        <v>10</v>
      </c>
      <c r="C1" s="31"/>
      <c r="D1" s="31"/>
      <c r="E1" s="31"/>
      <c r="F1" s="31"/>
      <c r="G1" s="32"/>
      <c r="H1" s="31"/>
      <c r="I1" s="31"/>
      <c r="J1" s="31"/>
      <c r="K1" s="31"/>
      <c r="L1" s="31"/>
      <c r="S1" t="s">
        <v>26</v>
      </c>
      <c r="T1">
        <f>F3^2/100</f>
        <v>11.9025</v>
      </c>
      <c r="U1">
        <f>1/T1</f>
        <v>8.401596303297626E-2</v>
      </c>
    </row>
    <row r="2" spans="2:24" ht="15" customHeight="1" x14ac:dyDescent="0.2">
      <c r="B2" s="33" t="s">
        <v>77</v>
      </c>
      <c r="C2" s="33"/>
      <c r="D2" s="33"/>
      <c r="E2" s="34"/>
      <c r="F2" s="34">
        <v>2.2999999999999998</v>
      </c>
      <c r="G2" s="32" t="s">
        <v>11</v>
      </c>
      <c r="H2" s="34"/>
    </row>
    <row r="3" spans="2:24" ht="18" customHeight="1" x14ac:dyDescent="0.2">
      <c r="B3" s="33" t="s">
        <v>12</v>
      </c>
      <c r="C3" s="33"/>
      <c r="D3" s="33"/>
      <c r="E3" s="34"/>
      <c r="F3" s="34">
        <v>34.5</v>
      </c>
      <c r="G3" s="32" t="s">
        <v>13</v>
      </c>
      <c r="H3" s="34"/>
    </row>
    <row r="4" spans="2:24" ht="18" customHeight="1" thickBot="1" x14ac:dyDescent="0.25">
      <c r="B4" s="33" t="s">
        <v>14</v>
      </c>
      <c r="C4" s="33"/>
      <c r="D4" s="33"/>
      <c r="E4" s="34"/>
      <c r="F4" s="34"/>
      <c r="G4" s="37" t="s">
        <v>15</v>
      </c>
      <c r="H4" s="34"/>
    </row>
    <row r="5" spans="2:24" ht="22.5" customHeight="1" thickBot="1" x14ac:dyDescent="0.25">
      <c r="B5" s="33"/>
      <c r="C5" s="33"/>
      <c r="D5" s="33"/>
      <c r="E5" s="34">
        <v>6000</v>
      </c>
      <c r="F5" s="34"/>
      <c r="G5" s="37"/>
      <c r="H5" s="34"/>
      <c r="T5" s="143" t="s">
        <v>27</v>
      </c>
      <c r="U5" s="144"/>
      <c r="V5" s="145"/>
    </row>
    <row r="6" spans="2:24" s="44" customFormat="1" ht="36.75" customHeight="1" x14ac:dyDescent="0.2">
      <c r="B6" s="38" t="s">
        <v>16</v>
      </c>
      <c r="C6" s="39" t="s">
        <v>17</v>
      </c>
      <c r="D6" s="39" t="s">
        <v>18</v>
      </c>
      <c r="E6" s="39" t="s">
        <v>17</v>
      </c>
      <c r="F6" s="39" t="s">
        <v>18</v>
      </c>
      <c r="G6" s="40" t="s">
        <v>19</v>
      </c>
      <c r="H6" s="39" t="s">
        <v>2</v>
      </c>
      <c r="I6" s="41" t="s">
        <v>20</v>
      </c>
      <c r="J6" s="41" t="s">
        <v>4</v>
      </c>
      <c r="K6" s="146" t="s">
        <v>5</v>
      </c>
      <c r="L6" s="146"/>
      <c r="M6" s="146" t="s">
        <v>6</v>
      </c>
      <c r="N6" s="146"/>
      <c r="O6" s="42" t="s">
        <v>21</v>
      </c>
      <c r="P6" s="42" t="s">
        <v>22</v>
      </c>
      <c r="Q6" s="42" t="s">
        <v>23</v>
      </c>
      <c r="R6" s="43" t="s">
        <v>24</v>
      </c>
      <c r="T6" s="146" t="s">
        <v>5</v>
      </c>
      <c r="U6" s="146"/>
      <c r="V6" s="41" t="s">
        <v>4</v>
      </c>
    </row>
    <row r="7" spans="2:24" s="52" customFormat="1" ht="12.75" customHeight="1" thickBot="1" x14ac:dyDescent="0.25">
      <c r="B7" s="45"/>
      <c r="C7" s="117"/>
      <c r="D7" s="117"/>
      <c r="E7" s="46"/>
      <c r="F7" s="46"/>
      <c r="G7" s="47"/>
      <c r="H7" s="46"/>
      <c r="I7" s="48"/>
      <c r="J7" s="48"/>
      <c r="K7" s="49" t="s">
        <v>7</v>
      </c>
      <c r="L7" s="49" t="s">
        <v>8</v>
      </c>
      <c r="M7" s="49" t="s">
        <v>7</v>
      </c>
      <c r="N7" s="49" t="s">
        <v>8</v>
      </c>
      <c r="O7" s="50"/>
      <c r="P7" s="71"/>
      <c r="Q7" s="50"/>
      <c r="R7" s="51"/>
      <c r="T7" s="49" t="s">
        <v>7</v>
      </c>
      <c r="U7" s="49" t="s">
        <v>8</v>
      </c>
      <c r="V7" s="48"/>
      <c r="X7" s="126" t="s">
        <v>78</v>
      </c>
    </row>
    <row r="8" spans="2:24" x14ac:dyDescent="0.2">
      <c r="B8" s="53">
        <v>1</v>
      </c>
      <c r="C8" s="132" t="s">
        <v>103</v>
      </c>
      <c r="D8" s="132" t="str">
        <f>C9</f>
        <v>T17</v>
      </c>
      <c r="E8" s="133">
        <f t="shared" ref="E8:E13" si="0">F8+2</f>
        <v>6026</v>
      </c>
      <c r="F8" s="54">
        <f t="shared" ref="F8:F13" si="1">E9</f>
        <v>6024</v>
      </c>
      <c r="G8" s="119">
        <v>900</v>
      </c>
      <c r="H8" s="135" t="s">
        <v>83</v>
      </c>
      <c r="I8" s="63">
        <f>$G8/1000*VLOOKUP($H8,'Cable Data'!$A$7:$G$11,2)</f>
        <v>0</v>
      </c>
      <c r="J8" s="56">
        <f>G8/VLOOKUP($H8,'Cable Data'!$A$7:$G$13,3,FALSE)</f>
        <v>1.3571680263840076E-5</v>
      </c>
      <c r="K8" s="57">
        <f>$G8/1000*VLOOKUP($H8,'Cable Data'!$A$7:$G$13,4,FALSE)</f>
        <v>0.18909000000000001</v>
      </c>
      <c r="L8" s="57">
        <f>$G8/1000*VLOOKUP($H8,'Cable Data'!$A$7:$G$13,5,FALSE)</f>
        <v>4.7699999999999999E-2</v>
      </c>
      <c r="M8" s="64"/>
      <c r="N8" s="64"/>
      <c r="O8" s="65">
        <v>1</v>
      </c>
      <c r="P8" s="59">
        <f t="shared" ref="P8:P19" si="2">O8*$F$2</f>
        <v>2.2999999999999998</v>
      </c>
      <c r="Q8" s="60">
        <f t="shared" ref="Q8:Q20" si="3">$P8*1000000*1/3^0.5*1/($F$3*1000)</f>
        <v>38.490017945975055</v>
      </c>
      <c r="R8" s="61">
        <f>VLOOKUP($H8,'Cable Data'!$A$7:$H$14,8,FALSE)</f>
        <v>132</v>
      </c>
      <c r="S8" s="127">
        <f t="shared" ref="S8:S20" si="4">R8*34.5*SQRT(3)/1000</f>
        <v>7.887759377668667</v>
      </c>
      <c r="T8" s="73">
        <f t="shared" ref="T8:T19" si="5">K8/$T$1</f>
        <v>1.5886578449905483E-2</v>
      </c>
      <c r="U8" s="73">
        <f t="shared" ref="U8:U19" si="6">L8/$T$1</f>
        <v>4.0075614366729675E-3</v>
      </c>
      <c r="V8" s="74">
        <f t="shared" ref="V8:V19" si="7">J8*$T$1</f>
        <v>1.615369243403565E-4</v>
      </c>
      <c r="X8" t="str">
        <f t="shared" ref="X8:X20" si="8">CONCATENATE("   ",E8,",    ",F8," '1 ',   ",ROUND(T8,5),",   ",ROUND(U8,5),",   ",ROUND(V8,5),",   ",ROUND(S8,2),",   ",ROUND(S8,2),",   ",ROUND(S8,2),",  0.00000,  0.00000,  0.00000,  0.00000,1,   0.00,   1,1.0000")</f>
        <v xml:space="preserve">   6026,    6024 '1 ',   0.01589,   0.00401,   0.00016,   7.89,   7.89,   7.89,  0.00000,  0.00000,  0.00000,  0.00000,1,   0.00,   1,1.0000</v>
      </c>
    </row>
    <row r="9" spans="2:24" x14ac:dyDescent="0.2">
      <c r="B9" s="53">
        <v>1</v>
      </c>
      <c r="C9" s="132" t="s">
        <v>102</v>
      </c>
      <c r="D9" s="132" t="str">
        <f>C10</f>
        <v>T6</v>
      </c>
      <c r="E9" s="54">
        <f t="shared" si="0"/>
        <v>6024</v>
      </c>
      <c r="F9" s="54">
        <f t="shared" si="1"/>
        <v>6022</v>
      </c>
      <c r="G9" s="119">
        <v>2500</v>
      </c>
      <c r="H9" s="135" t="s">
        <v>83</v>
      </c>
      <c r="I9" s="63">
        <f>$G9/1000*VLOOKUP($H9,'Cable Data'!$A$7:$G$11,2)</f>
        <v>0</v>
      </c>
      <c r="J9" s="56">
        <f>G9/VLOOKUP($H9,'Cable Data'!$A$7:$G$13,3,FALSE)</f>
        <v>3.7699111844000213E-5</v>
      </c>
      <c r="K9" s="57">
        <f>$G9/1000*VLOOKUP($H9,'Cable Data'!$A$7:$G$13,4,FALSE)</f>
        <v>0.52524999999999999</v>
      </c>
      <c r="L9" s="57">
        <f>$G9/1000*VLOOKUP($H9,'Cable Data'!$A$7:$G$13,5,FALSE)</f>
        <v>0.13250000000000001</v>
      </c>
      <c r="M9" s="64"/>
      <c r="N9" s="64"/>
      <c r="O9" s="65">
        <v>2</v>
      </c>
      <c r="P9" s="59">
        <f>O9*$F$2</f>
        <v>4.5999999999999996</v>
      </c>
      <c r="Q9" s="60">
        <f t="shared" si="3"/>
        <v>76.980035891950109</v>
      </c>
      <c r="R9" s="61">
        <f>VLOOKUP($H9,'Cable Data'!$A$7:$H$14,8,FALSE)</f>
        <v>132</v>
      </c>
      <c r="S9" s="127">
        <f>R9*34.5*SQRT(3)/1000</f>
        <v>7.887759377668667</v>
      </c>
      <c r="T9" s="73">
        <f t="shared" ref="T9:U13" si="9">K9/$T$1</f>
        <v>4.4129384583070787E-2</v>
      </c>
      <c r="U9" s="73">
        <f t="shared" si="9"/>
        <v>1.1132115101869356E-2</v>
      </c>
      <c r="V9" s="74">
        <f>J9*$T$1</f>
        <v>4.4871367872321256E-4</v>
      </c>
      <c r="X9" t="str">
        <f>CONCATENATE("   ",E9,",    ",F9," '1 ',   ",ROUND(T9,5),",   ",ROUND(U9,5),",   ",ROUND(V9,5),",   ",ROUND(S9,2),",   ",ROUND(S9,2),",   ",ROUND(S9,2),",  0.00000,  0.00000,  0.00000,  0.00000,1,   0.00,   1,1.0000")</f>
        <v xml:space="preserve">   6024,    6022 '1 ',   0.04413,   0.01113,   0.00045,   7.89,   7.89,   7.89,  0.00000,  0.00000,  0.00000,  0.00000,1,   0.00,   1,1.0000</v>
      </c>
    </row>
    <row r="10" spans="2:24" x14ac:dyDescent="0.2">
      <c r="B10" s="53">
        <v>1</v>
      </c>
      <c r="C10" s="132" t="s">
        <v>94</v>
      </c>
      <c r="D10" s="132" t="str">
        <f>C11</f>
        <v>T7</v>
      </c>
      <c r="E10" s="54">
        <f t="shared" si="0"/>
        <v>6022</v>
      </c>
      <c r="F10" s="54">
        <f t="shared" si="1"/>
        <v>6020</v>
      </c>
      <c r="G10" s="119">
        <v>1100</v>
      </c>
      <c r="H10" s="135" t="s">
        <v>83</v>
      </c>
      <c r="I10" s="63">
        <f>$G10/1000*VLOOKUP($H10,'Cable Data'!$A$7:$G$11,2)</f>
        <v>0</v>
      </c>
      <c r="J10" s="56">
        <f>G10/VLOOKUP($H10,'Cable Data'!$A$7:$G$13,3,FALSE)</f>
        <v>1.6587609211360092E-5</v>
      </c>
      <c r="K10" s="57">
        <f>$G10/1000*VLOOKUP($H10,'Cable Data'!$A$7:$G$13,4,FALSE)</f>
        <v>0.23111000000000004</v>
      </c>
      <c r="L10" s="57">
        <f>$G10/1000*VLOOKUP($H10,'Cable Data'!$A$7:$G$13,5,FALSE)</f>
        <v>5.8300000000000005E-2</v>
      </c>
      <c r="M10" s="64"/>
      <c r="N10" s="64"/>
      <c r="O10" s="65">
        <v>3</v>
      </c>
      <c r="P10" s="59">
        <f>O10*$F$2</f>
        <v>6.8999999999999995</v>
      </c>
      <c r="Q10" s="60">
        <f t="shared" si="3"/>
        <v>115.47005383792514</v>
      </c>
      <c r="R10" s="61">
        <f>VLOOKUP($H10,'Cable Data'!$A$7:$H$14,8,FALSE)</f>
        <v>132</v>
      </c>
      <c r="S10" s="127">
        <f>R10*34.5*SQRT(3)/1000</f>
        <v>7.887759377668667</v>
      </c>
      <c r="T10" s="73">
        <f t="shared" si="9"/>
        <v>1.9416929216551148E-2</v>
      </c>
      <c r="U10" s="73">
        <f t="shared" si="9"/>
        <v>4.8981306448225171E-3</v>
      </c>
      <c r="V10" s="74">
        <f>J10*$T$1</f>
        <v>1.974340186382135E-4</v>
      </c>
      <c r="X10" t="str">
        <f>CONCATENATE("   ",E10,",    ",F10," '1 ',   ",ROUND(T10,5),",   ",ROUND(U10,5),",   ",ROUND(V10,5),",   ",ROUND(S10,2),",   ",ROUND(S10,2),",   ",ROUND(S10,2),",  0.00000,  0.00000,  0.00000,  0.00000,1,   0.00,   1,1.0000")</f>
        <v xml:space="preserve">   6022,    6020 '1 ',   0.01942,   0.0049,   0.0002,   7.89,   7.89,   7.89,  0.00000,  0.00000,  0.00000,  0.00000,1,   0.00,   1,1.0000</v>
      </c>
    </row>
    <row r="11" spans="2:24" x14ac:dyDescent="0.2">
      <c r="B11" s="53">
        <v>1</v>
      </c>
      <c r="C11" s="132" t="s">
        <v>93</v>
      </c>
      <c r="D11" s="132" t="str">
        <f>C12</f>
        <v>T8</v>
      </c>
      <c r="E11" s="54">
        <f t="shared" si="0"/>
        <v>6020</v>
      </c>
      <c r="F11" s="54">
        <f t="shared" si="1"/>
        <v>6018</v>
      </c>
      <c r="G11" s="119">
        <v>1000</v>
      </c>
      <c r="H11" s="135" t="s">
        <v>83</v>
      </c>
      <c r="I11" s="63">
        <f>$G11/1000*VLOOKUP($H11,'Cable Data'!$A$7:$G$11,2)</f>
        <v>0</v>
      </c>
      <c r="J11" s="56">
        <f>G11/VLOOKUP($H11,'Cable Data'!$A$7:$G$13,3,FALSE)</f>
        <v>1.5079644737600084E-5</v>
      </c>
      <c r="K11" s="57">
        <f>$G11/1000*VLOOKUP($H11,'Cable Data'!$A$7:$G$13,4,FALSE)</f>
        <v>0.21010000000000001</v>
      </c>
      <c r="L11" s="57">
        <f>$G11/1000*VLOOKUP($H11,'Cable Data'!$A$7:$G$13,5,FALSE)</f>
        <v>5.2999999999999999E-2</v>
      </c>
      <c r="M11" s="64"/>
      <c r="N11" s="64"/>
      <c r="O11" s="65">
        <v>4</v>
      </c>
      <c r="P11" s="59">
        <f>O11*$F$2</f>
        <v>9.1999999999999993</v>
      </c>
      <c r="Q11" s="60">
        <f t="shared" si="3"/>
        <v>153.96007178390022</v>
      </c>
      <c r="R11" s="61">
        <f>VLOOKUP($H11,'Cable Data'!$A$7:$H$14,8,FALSE)</f>
        <v>132</v>
      </c>
      <c r="S11" s="127">
        <f>R11*34.5*SQRT(3)/1000</f>
        <v>7.887759377668667</v>
      </c>
      <c r="T11" s="73">
        <f t="shared" si="9"/>
        <v>1.7651753833228315E-2</v>
      </c>
      <c r="U11" s="73">
        <f t="shared" si="9"/>
        <v>4.4528460407477419E-3</v>
      </c>
      <c r="V11" s="74">
        <f>J11*$T$1</f>
        <v>1.7948547148928501E-4</v>
      </c>
      <c r="X11" t="str">
        <f>CONCATENATE("   ",E11,",    ",F11," '1 ',   ",ROUND(T11,5),",   ",ROUND(U11,5),",   ",ROUND(V11,5),",   ",ROUND(S11,2),",   ",ROUND(S11,2),",   ",ROUND(S11,2),",  0.00000,  0.00000,  0.00000,  0.00000,1,   0.00,   1,1.0000")</f>
        <v xml:space="preserve">   6020,    6018 '1 ',   0.01765,   0.00445,   0.00018,   7.89,   7.89,   7.89,  0.00000,  0.00000,  0.00000,  0.00000,1,   0.00,   1,1.0000</v>
      </c>
    </row>
    <row r="12" spans="2:24" x14ac:dyDescent="0.2">
      <c r="B12" s="53">
        <v>1</v>
      </c>
      <c r="C12" s="132" t="s">
        <v>92</v>
      </c>
      <c r="D12" s="132" t="str">
        <f t="shared" ref="D12:D17" si="10">C13</f>
        <v>T9</v>
      </c>
      <c r="E12" s="54">
        <f t="shared" si="0"/>
        <v>6018</v>
      </c>
      <c r="F12" s="54">
        <f t="shared" si="1"/>
        <v>6016</v>
      </c>
      <c r="G12" s="119">
        <v>1100</v>
      </c>
      <c r="H12" s="135" t="s">
        <v>83</v>
      </c>
      <c r="I12" s="63">
        <f>$G12/1000*VLOOKUP($H12,'Cable Data'!$A$7:$G$11,2)</f>
        <v>0</v>
      </c>
      <c r="J12" s="56">
        <f>G12/VLOOKUP($H12,'Cable Data'!$A$7:$G$13,3,FALSE)</f>
        <v>1.6587609211360092E-5</v>
      </c>
      <c r="K12" s="57">
        <f>$G12/1000*VLOOKUP($H12,'Cable Data'!$A$7:$G$13,4,FALSE)</f>
        <v>0.23111000000000004</v>
      </c>
      <c r="L12" s="57">
        <f>$G12/1000*VLOOKUP($H12,'Cable Data'!$A$7:$G$13,5,FALSE)</f>
        <v>5.8300000000000005E-2</v>
      </c>
      <c r="M12" s="64"/>
      <c r="N12" s="64"/>
      <c r="O12" s="65">
        <v>5</v>
      </c>
      <c r="P12" s="59">
        <f>O12*$F$2</f>
        <v>11.5</v>
      </c>
      <c r="Q12" s="60">
        <f t="shared" si="3"/>
        <v>192.45008972987526</v>
      </c>
      <c r="R12" s="61">
        <f>VLOOKUP($H12,'Cable Data'!$A$7:$H$14,8,FALSE)</f>
        <v>132</v>
      </c>
      <c r="S12" s="127">
        <f>R12*34.5*SQRT(3)/1000</f>
        <v>7.887759377668667</v>
      </c>
      <c r="T12" s="73">
        <f t="shared" si="9"/>
        <v>1.9416929216551148E-2</v>
      </c>
      <c r="U12" s="73">
        <f t="shared" si="9"/>
        <v>4.8981306448225171E-3</v>
      </c>
      <c r="V12" s="74">
        <f>J12*$T$1</f>
        <v>1.974340186382135E-4</v>
      </c>
      <c r="X12" t="str">
        <f>CONCATENATE("   ",E12,",    ",F12," '1 ',   ",ROUND(T12,5),",   ",ROUND(U12,5),",   ",ROUND(V12,5),",   ",ROUND(S12,2),",   ",ROUND(S12,2),",   ",ROUND(S12,2),",  0.00000,  0.00000,  0.00000,  0.00000,1,   0.00,   1,1.0000")</f>
        <v xml:space="preserve">   6018,    6016 '1 ',   0.01942,   0.0049,   0.0002,   7.89,   7.89,   7.89,  0.00000,  0.00000,  0.00000,  0.00000,1,   0.00,   1,1.0000</v>
      </c>
    </row>
    <row r="13" spans="2:24" x14ac:dyDescent="0.2">
      <c r="B13" s="53">
        <v>1</v>
      </c>
      <c r="C13" s="132" t="s">
        <v>91</v>
      </c>
      <c r="D13" s="132" t="str">
        <f t="shared" si="10"/>
        <v>T10</v>
      </c>
      <c r="E13" s="54">
        <f t="shared" si="0"/>
        <v>6016</v>
      </c>
      <c r="F13" s="54">
        <f t="shared" si="1"/>
        <v>6014</v>
      </c>
      <c r="G13" s="119">
        <v>1000</v>
      </c>
      <c r="H13" s="54" t="s">
        <v>89</v>
      </c>
      <c r="I13" s="63">
        <f>$G13/1000*VLOOKUP($H13,'Cable Data'!$A$7:$G$11,2)</f>
        <v>0</v>
      </c>
      <c r="J13" s="56">
        <f>G13/VLOOKUP($H13,'Cable Data'!$A$7:$G$13,3,FALSE)</f>
        <v>2.488141381947896E-5</v>
      </c>
      <c r="K13" s="57">
        <f>$G13/1000*VLOOKUP($H13,'Cable Data'!$A$7:$G$13,4,FALSE)</f>
        <v>4.4999999999999998E-2</v>
      </c>
      <c r="L13" s="57">
        <f>$G13/1000*VLOOKUP($H13,'Cable Data'!$A$7:$G$13,5,FALSE)</f>
        <v>4.2000000000000003E-2</v>
      </c>
      <c r="M13" s="64"/>
      <c r="N13" s="64"/>
      <c r="O13" s="65">
        <v>6</v>
      </c>
      <c r="P13" s="59">
        <f>O13*$F$2</f>
        <v>13.799999999999999</v>
      </c>
      <c r="Q13" s="60">
        <f t="shared" si="3"/>
        <v>230.94010767585027</v>
      </c>
      <c r="R13" s="61">
        <f>VLOOKUP($H13,'Cable Data'!$A$7:$H$14,8,FALSE)</f>
        <v>317</v>
      </c>
      <c r="S13" s="127">
        <f>R13*34.5*SQRT(3)/1000</f>
        <v>18.942573656977029</v>
      </c>
      <c r="T13" s="73">
        <f t="shared" si="9"/>
        <v>3.780718336483932E-3</v>
      </c>
      <c r="U13" s="73">
        <f t="shared" si="9"/>
        <v>3.5286704473850034E-3</v>
      </c>
      <c r="V13" s="74">
        <f>J13*$T$1</f>
        <v>2.961510279863483E-4</v>
      </c>
      <c r="X13" t="str">
        <f>CONCATENATE("   ",E13,",    ",F13," '1 ',   ",ROUND(T13,5),",   ",ROUND(U13,5),",   ",ROUND(V13,5),",   ",ROUND(S13,2),",   ",ROUND(S13,2),",   ",ROUND(S13,2),",  0.00000,  0.00000,  0.00000,  0.00000,1,   0.00,   1,1.0000")</f>
        <v xml:space="preserve">   6016,    6014 '1 ',   0.00378,   0.00353,   0.0003,   18.94,   18.94,   18.94,  0.00000,  0.00000,  0.00000,  0.00000,1,   0.00,   1,1.0000</v>
      </c>
    </row>
    <row r="14" spans="2:24" x14ac:dyDescent="0.2">
      <c r="B14" s="53">
        <v>1</v>
      </c>
      <c r="C14" s="132" t="s">
        <v>90</v>
      </c>
      <c r="D14" s="132" t="s">
        <v>114</v>
      </c>
      <c r="E14" s="54">
        <f>E15+2</f>
        <v>6014</v>
      </c>
      <c r="F14" s="54">
        <f>F17</f>
        <v>6006</v>
      </c>
      <c r="G14" s="119">
        <v>2400</v>
      </c>
      <c r="H14" s="54" t="s">
        <v>89</v>
      </c>
      <c r="I14" s="63">
        <f>$G14/1000*VLOOKUP($H14,'Cable Data'!$A$7:$G$11,2)</f>
        <v>0</v>
      </c>
      <c r="J14" s="56">
        <f>G14/VLOOKUP($H14,'Cable Data'!$A$7:$G$13,3,FALSE)</f>
        <v>5.9715393166749496E-5</v>
      </c>
      <c r="K14" s="57">
        <f>$G14/1000*VLOOKUP($H14,'Cable Data'!$A$7:$G$13,4,FALSE)</f>
        <v>0.108</v>
      </c>
      <c r="L14" s="57">
        <f>$G14/1000*VLOOKUP($H14,'Cable Data'!$A$7:$G$13,5,FALSE)</f>
        <v>0.1008</v>
      </c>
      <c r="M14" s="64"/>
      <c r="N14" s="64"/>
      <c r="O14" s="65">
        <v>7</v>
      </c>
      <c r="P14" s="59">
        <f t="shared" si="2"/>
        <v>16.099999999999998</v>
      </c>
      <c r="Q14" s="60">
        <f t="shared" si="3"/>
        <v>269.43012562182537</v>
      </c>
      <c r="R14" s="61">
        <f>VLOOKUP($H14,'Cable Data'!$A$7:$H$14,8,FALSE)</f>
        <v>317</v>
      </c>
      <c r="S14" s="127">
        <f t="shared" si="4"/>
        <v>18.942573656977029</v>
      </c>
      <c r="T14" s="73">
        <f t="shared" si="5"/>
        <v>9.0737240075614359E-3</v>
      </c>
      <c r="U14" s="73">
        <f t="shared" si="6"/>
        <v>8.4688090737240086E-3</v>
      </c>
      <c r="V14" s="74">
        <f t="shared" si="7"/>
        <v>7.1076246716723587E-4</v>
      </c>
      <c r="X14" t="str">
        <f t="shared" si="8"/>
        <v xml:space="preserve">   6014,    6006 '1 ',   0.00907,   0.00847,   0.00071,   18.94,   18.94,   18.94,  0.00000,  0.00000,  0.00000,  0.00000,1,   0.00,   1,1.0000</v>
      </c>
    </row>
    <row r="15" spans="2:24" x14ac:dyDescent="0.2">
      <c r="B15" s="53">
        <v>1</v>
      </c>
      <c r="C15" s="132" t="s">
        <v>108</v>
      </c>
      <c r="D15" s="132" t="str">
        <f t="shared" si="10"/>
        <v>T12</v>
      </c>
      <c r="E15" s="54">
        <f>F15+2</f>
        <v>6012</v>
      </c>
      <c r="F15" s="54">
        <f>E16</f>
        <v>6010</v>
      </c>
      <c r="G15" s="119">
        <v>1200</v>
      </c>
      <c r="H15" s="135" t="s">
        <v>83</v>
      </c>
      <c r="I15" s="63">
        <f>$G15/1000*VLOOKUP($H15,'Cable Data'!$A$7:$G$11,2)</f>
        <v>0</v>
      </c>
      <c r="J15" s="56">
        <f>G15/VLOOKUP($H15,'Cable Data'!$A$7:$G$13,3,FALSE)</f>
        <v>1.8095573685120102E-5</v>
      </c>
      <c r="K15" s="57">
        <f>$G15/1000*VLOOKUP($H15,'Cable Data'!$A$7:$G$13,4,FALSE)</f>
        <v>0.25212000000000001</v>
      </c>
      <c r="L15" s="57">
        <f>$G15/1000*VLOOKUP($H15,'Cable Data'!$A$7:$G$13,5,FALSE)</f>
        <v>6.359999999999999E-2</v>
      </c>
      <c r="M15" s="64"/>
      <c r="N15" s="64"/>
      <c r="O15" s="65">
        <v>1</v>
      </c>
      <c r="P15" s="59">
        <f>O15*$F$2</f>
        <v>2.2999999999999998</v>
      </c>
      <c r="Q15" s="60">
        <f t="shared" si="3"/>
        <v>38.490017945975055</v>
      </c>
      <c r="R15" s="61">
        <f>VLOOKUP($H15,'Cable Data'!$A$7:$H$14,8,FALSE)</f>
        <v>132</v>
      </c>
      <c r="S15" s="127">
        <f>R15*34.5*SQRT(3)/1000</f>
        <v>7.887759377668667</v>
      </c>
      <c r="T15" s="73">
        <f>K15/$T$1</f>
        <v>2.1182104599873977E-2</v>
      </c>
      <c r="U15" s="73">
        <f>L15/$T$1</f>
        <v>5.3434152488972897E-3</v>
      </c>
      <c r="V15" s="74">
        <f>J15*$T$1</f>
        <v>2.1538256578714201E-4</v>
      </c>
      <c r="X15" t="str">
        <f>CONCATENATE("   ",E15,",    ",F15," '1 ',   ",ROUND(T15,5),",   ",ROUND(U15,5),",   ",ROUND(V15,5),",   ",ROUND(S15,2),",   ",ROUND(S15,2),",   ",ROUND(S15,2),",  0.00000,  0.00000,  0.00000,  0.00000,1,   0.00,   1,1.0000")</f>
        <v xml:space="preserve">   6012,    6010 '1 ',   0.02118,   0.00534,   0.00022,   7.89,   7.89,   7.89,  0.00000,  0.00000,  0.00000,  0.00000,1,   0.00,   1,1.0000</v>
      </c>
    </row>
    <row r="16" spans="2:24" x14ac:dyDescent="0.2">
      <c r="B16" s="53">
        <v>1</v>
      </c>
      <c r="C16" s="132" t="s">
        <v>107</v>
      </c>
      <c r="D16" s="132" t="str">
        <f t="shared" si="10"/>
        <v>T13</v>
      </c>
      <c r="E16" s="54">
        <f>F16+2</f>
        <v>6010</v>
      </c>
      <c r="F16" s="54">
        <f>E17</f>
        <v>6008</v>
      </c>
      <c r="G16" s="119">
        <v>1100</v>
      </c>
      <c r="H16" s="135" t="s">
        <v>83</v>
      </c>
      <c r="I16" s="63">
        <f>$G16/1000*VLOOKUP($H16,'Cable Data'!$A$7:$G$11,2)</f>
        <v>0</v>
      </c>
      <c r="J16" s="56">
        <f>G16/VLOOKUP($H16,'Cable Data'!$A$7:$G$13,3,FALSE)</f>
        <v>1.6587609211360092E-5</v>
      </c>
      <c r="K16" s="57">
        <f>$G16/1000*VLOOKUP($H16,'Cable Data'!$A$7:$G$13,4,FALSE)</f>
        <v>0.23111000000000004</v>
      </c>
      <c r="L16" s="57">
        <f>$G16/1000*VLOOKUP($H16,'Cable Data'!$A$7:$G$13,5,FALSE)</f>
        <v>5.8300000000000005E-2</v>
      </c>
      <c r="M16" s="64"/>
      <c r="N16" s="64"/>
      <c r="O16" s="65">
        <v>2</v>
      </c>
      <c r="P16" s="59">
        <f t="shared" si="2"/>
        <v>4.5999999999999996</v>
      </c>
      <c r="Q16" s="60">
        <f t="shared" si="3"/>
        <v>76.980035891950109</v>
      </c>
      <c r="R16" s="61">
        <f>VLOOKUP($H16,'Cable Data'!$A$7:$H$14,8,FALSE)</f>
        <v>132</v>
      </c>
      <c r="S16" s="127">
        <f t="shared" si="4"/>
        <v>7.887759377668667</v>
      </c>
      <c r="T16" s="73">
        <f t="shared" si="5"/>
        <v>1.9416929216551148E-2</v>
      </c>
      <c r="U16" s="73">
        <f t="shared" si="6"/>
        <v>4.8981306448225171E-3</v>
      </c>
      <c r="V16" s="74">
        <f t="shared" si="7"/>
        <v>1.974340186382135E-4</v>
      </c>
      <c r="X16" t="str">
        <f t="shared" si="8"/>
        <v xml:space="preserve">   6010,    6008 '1 ',   0.01942,   0.0049,   0.0002,   7.89,   7.89,   7.89,  0.00000,  0.00000,  0.00000,  0.00000,1,   0.00,   1,1.0000</v>
      </c>
    </row>
    <row r="17" spans="2:24" x14ac:dyDescent="0.2">
      <c r="B17" s="53">
        <v>1</v>
      </c>
      <c r="C17" s="132" t="s">
        <v>106</v>
      </c>
      <c r="D17" s="132" t="str">
        <f t="shared" si="10"/>
        <v>JB1-2</v>
      </c>
      <c r="E17" s="54">
        <f>F17+2</f>
        <v>6008</v>
      </c>
      <c r="F17" s="54">
        <f>E18</f>
        <v>6006</v>
      </c>
      <c r="G17" s="119">
        <v>2000</v>
      </c>
      <c r="H17" s="135" t="s">
        <v>83</v>
      </c>
      <c r="I17" s="63">
        <f>$G17/1000*VLOOKUP($H17,'Cable Data'!$A$7:$G$11,2)</f>
        <v>0</v>
      </c>
      <c r="J17" s="56">
        <f>G17/VLOOKUP($H17,'Cable Data'!$A$7:$G$13,3,FALSE)</f>
        <v>3.0159289475200169E-5</v>
      </c>
      <c r="K17" s="57">
        <f>$G17/1000*VLOOKUP($H17,'Cable Data'!$A$7:$G$13,4,FALSE)</f>
        <v>0.42020000000000002</v>
      </c>
      <c r="L17" s="57">
        <f>$G17/1000*VLOOKUP($H17,'Cable Data'!$A$7:$G$13,5,FALSE)</f>
        <v>0.106</v>
      </c>
      <c r="M17" s="64"/>
      <c r="N17" s="64"/>
      <c r="O17" s="65">
        <v>3</v>
      </c>
      <c r="P17" s="59">
        <f t="shared" si="2"/>
        <v>6.8999999999999995</v>
      </c>
      <c r="Q17" s="60">
        <f t="shared" si="3"/>
        <v>115.47005383792514</v>
      </c>
      <c r="R17" s="61">
        <f>VLOOKUP($H17,'Cable Data'!$A$7:$H$14,8,FALSE)</f>
        <v>132</v>
      </c>
      <c r="S17" s="127">
        <f t="shared" si="4"/>
        <v>7.887759377668667</v>
      </c>
      <c r="T17" s="73">
        <f t="shared" si="5"/>
        <v>3.5303507666456631E-2</v>
      </c>
      <c r="U17" s="73">
        <f t="shared" si="6"/>
        <v>8.9056920814954837E-3</v>
      </c>
      <c r="V17" s="74">
        <f t="shared" si="7"/>
        <v>3.5897094297857003E-4</v>
      </c>
      <c r="X17" t="str">
        <f t="shared" si="8"/>
        <v xml:space="preserve">   6008,    6006 '1 ',   0.0353,   0.00891,   0.00036,   7.89,   7.89,   7.89,  0.00000,  0.00000,  0.00000,  0.00000,1,   0.00,   1,1.0000</v>
      </c>
    </row>
    <row r="18" spans="2:24" x14ac:dyDescent="0.2">
      <c r="B18" s="53">
        <v>1</v>
      </c>
      <c r="C18" s="132" t="s">
        <v>114</v>
      </c>
      <c r="D18" s="132" t="s">
        <v>113</v>
      </c>
      <c r="E18" s="54">
        <f>E19+2</f>
        <v>6006</v>
      </c>
      <c r="F18" s="54">
        <f>F19</f>
        <v>6002</v>
      </c>
      <c r="G18" s="119">
        <v>2900</v>
      </c>
      <c r="H18" s="134" t="s">
        <v>111</v>
      </c>
      <c r="I18" s="63">
        <f>$G18/1000*VLOOKUP($H18,'Cable Data'!$A$7:$G$11,2)</f>
        <v>0</v>
      </c>
      <c r="J18" s="56">
        <f>G18/VLOOKUP($H18,'Cable Data'!$A$7:$G$13,3,FALSE)</f>
        <v>9.402158560530821E-5</v>
      </c>
      <c r="K18" s="57">
        <f>$G18/1000*VLOOKUP($H18,'Cable Data'!$A$7:$G$13,4,FALSE)</f>
        <v>8.1199999999999994E-2</v>
      </c>
      <c r="L18" s="57">
        <f>$G18/1000*VLOOKUP($H18,'Cable Data'!$A$7:$G$13,5,FALSE)</f>
        <v>0.11019999999999999</v>
      </c>
      <c r="M18" s="64"/>
      <c r="N18" s="64"/>
      <c r="O18" s="65">
        <v>10</v>
      </c>
      <c r="P18" s="59">
        <f t="shared" si="2"/>
        <v>23</v>
      </c>
      <c r="Q18" s="60">
        <f t="shared" si="3"/>
        <v>384.90017945975052</v>
      </c>
      <c r="R18" s="61">
        <f>VLOOKUP($H18,'Cable Data'!$A$7:$H$14,8,FALSE)</f>
        <v>425</v>
      </c>
      <c r="S18" s="127">
        <f t="shared" si="4"/>
        <v>25.396194965978662</v>
      </c>
      <c r="T18" s="73">
        <f t="shared" si="5"/>
        <v>6.8220961982776726E-3</v>
      </c>
      <c r="U18" s="73">
        <f t="shared" si="6"/>
        <v>9.2585591262339846E-3</v>
      </c>
      <c r="V18" s="74">
        <f t="shared" si="7"/>
        <v>1.1190919226671809E-3</v>
      </c>
      <c r="X18" t="str">
        <f t="shared" si="8"/>
        <v xml:space="preserve">   6006,    6002 '1 ',   0.00682,   0.00926,   0.00112,   25.4,   25.4,   25.4,  0.00000,  0.00000,  0.00000,  0.00000,1,   0.00,   1,1.0000</v>
      </c>
    </row>
    <row r="19" spans="2:24" x14ac:dyDescent="0.2">
      <c r="B19" s="53">
        <v>1</v>
      </c>
      <c r="C19" s="132" t="s">
        <v>98</v>
      </c>
      <c r="D19" s="132" t="str">
        <f>C20</f>
        <v>JB1-1</v>
      </c>
      <c r="E19" s="54">
        <f>E20+2</f>
        <v>6004</v>
      </c>
      <c r="F19" s="54">
        <f>E20</f>
        <v>6002</v>
      </c>
      <c r="G19" s="119">
        <v>900</v>
      </c>
      <c r="H19" s="135" t="s">
        <v>83</v>
      </c>
      <c r="I19" s="63">
        <f>$G19/1000*VLOOKUP($H19,'Cable Data'!$A$7:$G$11,2)</f>
        <v>0</v>
      </c>
      <c r="J19" s="56">
        <f>G19/VLOOKUP($H19,'Cable Data'!$A$7:$G$13,3,FALSE)</f>
        <v>1.3571680263840076E-5</v>
      </c>
      <c r="K19" s="57">
        <f>$G19/1000*VLOOKUP($H19,'Cable Data'!$A$7:$G$13,4,FALSE)</f>
        <v>0.18909000000000001</v>
      </c>
      <c r="L19" s="57">
        <f>$G19/1000*VLOOKUP($H19,'Cable Data'!$A$7:$G$13,5,FALSE)</f>
        <v>4.7699999999999999E-2</v>
      </c>
      <c r="M19" s="64"/>
      <c r="N19" s="64"/>
      <c r="O19" s="65">
        <v>1</v>
      </c>
      <c r="P19" s="59">
        <f t="shared" si="2"/>
        <v>2.2999999999999998</v>
      </c>
      <c r="Q19" s="60">
        <f t="shared" si="3"/>
        <v>38.490017945975055</v>
      </c>
      <c r="R19" s="61">
        <f>VLOOKUP($H19,'Cable Data'!$A$7:$H$14,8,FALSE)</f>
        <v>132</v>
      </c>
      <c r="S19" s="127">
        <f t="shared" si="4"/>
        <v>7.887759377668667</v>
      </c>
      <c r="T19" s="73">
        <f t="shared" si="5"/>
        <v>1.5886578449905483E-2</v>
      </c>
      <c r="U19" s="73">
        <f t="shared" si="6"/>
        <v>4.0075614366729675E-3</v>
      </c>
      <c r="V19" s="74">
        <f t="shared" si="7"/>
        <v>1.615369243403565E-4</v>
      </c>
      <c r="X19" t="str">
        <f t="shared" si="8"/>
        <v xml:space="preserve">   6004,    6002 '1 ',   0.01589,   0.00401,   0.00016,   7.89,   7.89,   7.89,  0.00000,  0.00000,  0.00000,  0.00000,1,   0.00,   1,1.0000</v>
      </c>
    </row>
    <row r="20" spans="2:24" x14ac:dyDescent="0.2">
      <c r="B20" s="53">
        <v>1</v>
      </c>
      <c r="C20" s="132" t="s">
        <v>113</v>
      </c>
      <c r="D20" s="132" t="s">
        <v>85</v>
      </c>
      <c r="E20" s="54">
        <f>F20+2</f>
        <v>6002</v>
      </c>
      <c r="F20" s="54">
        <f>E5</f>
        <v>6000</v>
      </c>
      <c r="G20" s="120">
        <v>4300</v>
      </c>
      <c r="H20" s="134" t="s">
        <v>111</v>
      </c>
      <c r="I20" s="63">
        <f>$G20/1000*VLOOKUP($H20,'Cable Data'!$A$7:$G$11,2)</f>
        <v>0</v>
      </c>
      <c r="J20" s="56">
        <f>G20/VLOOKUP($H20,'Cable Data'!$A$7:$G$13,3,FALSE)</f>
        <v>1.3941131658718115E-4</v>
      </c>
      <c r="K20" s="57">
        <f>$G20/1000*VLOOKUP($H20,'Cable Data'!$A$7:$G$13,4,FALSE)</f>
        <v>0.12039999999999999</v>
      </c>
      <c r="L20" s="57">
        <f>$G20/1000*VLOOKUP($H20,'Cable Data'!$A$7:$G$13,5,FALSE)</f>
        <v>0.16339999999999999</v>
      </c>
      <c r="M20" s="64"/>
      <c r="N20" s="64"/>
      <c r="O20" s="65">
        <v>11</v>
      </c>
      <c r="P20" s="66">
        <f>O20*$F$2</f>
        <v>25.299999999999997</v>
      </c>
      <c r="Q20" s="67">
        <f t="shared" si="3"/>
        <v>423.39019740572547</v>
      </c>
      <c r="R20" s="61">
        <f>VLOOKUP($H20,'Cable Data'!$A$7:$H$14,8,FALSE)</f>
        <v>425</v>
      </c>
      <c r="S20" s="127">
        <f t="shared" si="4"/>
        <v>25.396194965978662</v>
      </c>
      <c r="T20" s="73">
        <f>K20/$T$1</f>
        <v>1.0115521949170342E-2</v>
      </c>
      <c r="U20" s="73">
        <f>L20/$T$1</f>
        <v>1.3728208359588321E-2</v>
      </c>
      <c r="V20" s="74">
        <f>J20*$T$1</f>
        <v>1.6593431956789236E-3</v>
      </c>
      <c r="X20" t="str">
        <f t="shared" si="8"/>
        <v xml:space="preserve">   6002,    6000 '1 ',   0.01012,   0.01373,   0.00166,   25.4,   25.4,   25.4,  0.00000,  0.00000,  0.00000,  0.00000,1,   0.00,   1,1.0000</v>
      </c>
    </row>
    <row r="21" spans="2:24" x14ac:dyDescent="0.2">
      <c r="B21" s="68"/>
      <c r="C21" s="68"/>
      <c r="D21" s="68"/>
      <c r="E21" s="68"/>
      <c r="F21" s="68"/>
      <c r="G21" s="69"/>
      <c r="H21" s="68"/>
      <c r="I21"/>
      <c r="K21" s="35"/>
    </row>
    <row r="22" spans="2:24" x14ac:dyDescent="0.2">
      <c r="B22" s="68"/>
      <c r="C22" s="68"/>
      <c r="D22" s="68"/>
      <c r="E22" s="68"/>
      <c r="F22" s="68"/>
      <c r="G22" s="69"/>
      <c r="H22" s="68"/>
      <c r="I22"/>
      <c r="K22" s="35"/>
    </row>
    <row r="23" spans="2:24" x14ac:dyDescent="0.2">
      <c r="B23" s="68"/>
      <c r="C23" s="68"/>
      <c r="D23" s="68"/>
      <c r="E23" s="68"/>
      <c r="F23" s="68"/>
      <c r="G23" s="69"/>
      <c r="H23" s="68"/>
      <c r="I23"/>
      <c r="K23" s="35"/>
    </row>
    <row r="25" spans="2:24" ht="13.5" thickBot="1" x14ac:dyDescent="0.25"/>
    <row r="26" spans="2:24" s="44" customFormat="1" ht="36.75" customHeight="1" x14ac:dyDescent="0.2">
      <c r="B26" s="38" t="s">
        <v>16</v>
      </c>
      <c r="C26" s="39" t="s">
        <v>17</v>
      </c>
      <c r="D26" s="39" t="s">
        <v>18</v>
      </c>
      <c r="E26" s="39" t="s">
        <v>17</v>
      </c>
      <c r="F26" s="39" t="s">
        <v>18</v>
      </c>
      <c r="G26" s="40" t="s">
        <v>19</v>
      </c>
      <c r="H26" s="39" t="s">
        <v>2</v>
      </c>
      <c r="I26" s="41" t="s">
        <v>20</v>
      </c>
      <c r="J26" s="41" t="s">
        <v>4</v>
      </c>
      <c r="K26" s="146" t="s">
        <v>5</v>
      </c>
      <c r="L26" s="146"/>
      <c r="M26" s="146" t="s">
        <v>6</v>
      </c>
      <c r="N26" s="146"/>
      <c r="O26" s="42" t="s">
        <v>21</v>
      </c>
      <c r="P26" s="42" t="s">
        <v>22</v>
      </c>
      <c r="Q26" s="42" t="s">
        <v>23</v>
      </c>
      <c r="R26" s="43" t="s">
        <v>24</v>
      </c>
      <c r="T26" s="146" t="s">
        <v>5</v>
      </c>
      <c r="U26" s="146"/>
      <c r="V26" s="41" t="s">
        <v>4</v>
      </c>
    </row>
    <row r="27" spans="2:24" s="52" customFormat="1" ht="12.75" customHeight="1" thickBot="1" x14ac:dyDescent="0.25">
      <c r="B27" s="45"/>
      <c r="C27" s="117"/>
      <c r="D27" s="117"/>
      <c r="E27" s="46"/>
      <c r="F27" s="46"/>
      <c r="G27" s="47"/>
      <c r="H27" s="46"/>
      <c r="I27" s="48"/>
      <c r="J27" s="48"/>
      <c r="K27" s="49" t="s">
        <v>7</v>
      </c>
      <c r="L27" s="49" t="s">
        <v>8</v>
      </c>
      <c r="M27" s="49" t="s">
        <v>7</v>
      </c>
      <c r="N27" s="49" t="s">
        <v>8</v>
      </c>
      <c r="O27" s="50"/>
      <c r="P27" s="71"/>
      <c r="Q27" s="50"/>
      <c r="R27" s="51"/>
      <c r="T27" s="49" t="s">
        <v>7</v>
      </c>
      <c r="U27" s="49" t="s">
        <v>8</v>
      </c>
      <c r="V27" s="48"/>
    </row>
    <row r="28" spans="2:24" x14ac:dyDescent="0.2">
      <c r="B28" s="53">
        <v>2</v>
      </c>
      <c r="C28" s="132" t="s">
        <v>95</v>
      </c>
      <c r="D28" s="132" t="str">
        <f>C29</f>
        <v>T4</v>
      </c>
      <c r="E28" s="54">
        <f t="shared" ref="E28:E40" si="11">E29+2</f>
        <v>6054</v>
      </c>
      <c r="F28" s="54">
        <f>E29</f>
        <v>6052</v>
      </c>
      <c r="G28" s="119">
        <v>1500</v>
      </c>
      <c r="H28" s="135" t="s">
        <v>83</v>
      </c>
      <c r="I28" s="55">
        <f>$G28/1000*VLOOKUP($H28,'Cable Data'!$A$7:$G$11,2)</f>
        <v>0</v>
      </c>
      <c r="J28" s="56">
        <f>G28/VLOOKUP($H28,'Cable Data'!$A$7:$G$13,3,FALSE)</f>
        <v>2.2619467106400127E-5</v>
      </c>
      <c r="K28" s="57">
        <f>$G28/1000*VLOOKUP($H28,'Cable Data'!$A$7:$G$13,4,FALSE)</f>
        <v>0.31515000000000004</v>
      </c>
      <c r="L28" s="57">
        <f>$G28/1000*VLOOKUP($H28,'Cable Data'!$A$7:$G$13,5,FALSE)</f>
        <v>7.9500000000000001E-2</v>
      </c>
      <c r="M28" s="57">
        <f>$G28/1000*VLOOKUP($H28,'Cable Data'!$A$7:$G$11,6)</f>
        <v>0</v>
      </c>
      <c r="N28" s="57">
        <f>$G28/1000*VLOOKUP($H28,'Cable Data'!$A$7:$G$11,7)</f>
        <v>0</v>
      </c>
      <c r="O28" s="58">
        <v>1</v>
      </c>
      <c r="P28" s="59">
        <f>O28*$F$2</f>
        <v>2.2999999999999998</v>
      </c>
      <c r="Q28" s="60">
        <f t="shared" ref="Q28:Q41" si="12">$P28*1000000*1/3^0.5*1/($F$3*1000)</f>
        <v>38.490017945975055</v>
      </c>
      <c r="R28" s="61">
        <f>VLOOKUP($H28,'Cable Data'!$A$7:$H$13,8,FALSE)</f>
        <v>132</v>
      </c>
      <c r="S28" s="127">
        <f>R28*34.5*SQRT(3)/1000</f>
        <v>7.887759377668667</v>
      </c>
      <c r="T28" s="73">
        <f t="shared" ref="T28:U31" si="13">K28/$T$1</f>
        <v>2.6477630749842475E-2</v>
      </c>
      <c r="U28" s="73">
        <f t="shared" si="13"/>
        <v>6.6792690611216137E-3</v>
      </c>
      <c r="V28" s="74">
        <f>J28*$T$1</f>
        <v>2.6922820723392749E-4</v>
      </c>
      <c r="X28" t="str">
        <f>CONCATENATE("   ",E28,",    ",F28," '1 ',   ",ROUND(T28,5),",   ",ROUND(U28,5),",   ",ROUND(V28,5),",   ",ROUND(S28,2),",   ",ROUND(S28,2),",   ",ROUND(S28,2),",  0.00000,  0.00000,  0.00000,  0.00000,1,   0.00,   1,1.0000")</f>
        <v xml:space="preserve">   6054,    6052 '1 ',   0.02648,   0.00668,   0.00027,   7.89,   7.89,   7.89,  0.00000,  0.00000,  0.00000,  0.00000,1,   0.00,   1,1.0000</v>
      </c>
    </row>
    <row r="29" spans="2:24" x14ac:dyDescent="0.2">
      <c r="B29" s="53">
        <v>2</v>
      </c>
      <c r="C29" s="132" t="s">
        <v>96</v>
      </c>
      <c r="D29" s="132" t="str">
        <f>C30</f>
        <v>T3</v>
      </c>
      <c r="E29" s="54">
        <f t="shared" si="11"/>
        <v>6052</v>
      </c>
      <c r="F29" s="54">
        <f>E30</f>
        <v>6050</v>
      </c>
      <c r="G29" s="119">
        <v>1500</v>
      </c>
      <c r="H29" s="135" t="s">
        <v>83</v>
      </c>
      <c r="I29" s="55">
        <f>$G29/1000*VLOOKUP($H29,'Cable Data'!$A$7:$G$11,2)</f>
        <v>0</v>
      </c>
      <c r="J29" s="56">
        <f>G29/VLOOKUP($H29,'Cable Data'!$A$7:$G$13,3,FALSE)</f>
        <v>2.2619467106400127E-5</v>
      </c>
      <c r="K29" s="57">
        <f>$G29/1000*VLOOKUP($H29,'Cable Data'!$A$7:$G$13,4,FALSE)</f>
        <v>0.31515000000000004</v>
      </c>
      <c r="L29" s="57">
        <f>$G29/1000*VLOOKUP($H29,'Cable Data'!$A$7:$G$13,5,FALSE)</f>
        <v>7.9500000000000001E-2</v>
      </c>
      <c r="M29" s="57">
        <f>$G29/1000*VLOOKUP($H29,'Cable Data'!$A$7:$G$11,6)</f>
        <v>0</v>
      </c>
      <c r="N29" s="57">
        <f>$G29/1000*VLOOKUP($H29,'Cable Data'!$A$7:$G$11,7)</f>
        <v>0</v>
      </c>
      <c r="O29" s="58">
        <v>2</v>
      </c>
      <c r="P29" s="59">
        <f>O29*$F$2</f>
        <v>4.5999999999999996</v>
      </c>
      <c r="Q29" s="60">
        <f t="shared" si="12"/>
        <v>76.980035891950109</v>
      </c>
      <c r="R29" s="61">
        <f>VLOOKUP($H29,'Cable Data'!$A$7:$H$13,8,FALSE)</f>
        <v>132</v>
      </c>
      <c r="S29" s="127">
        <f>R29*34.5*SQRT(3)/1000</f>
        <v>7.887759377668667</v>
      </c>
      <c r="T29" s="73">
        <f t="shared" si="13"/>
        <v>2.6477630749842475E-2</v>
      </c>
      <c r="U29" s="73">
        <f t="shared" si="13"/>
        <v>6.6792690611216137E-3</v>
      </c>
      <c r="V29" s="74">
        <f>J29*$T$1</f>
        <v>2.6922820723392749E-4</v>
      </c>
      <c r="X29" t="str">
        <f>CONCATENATE("   ",E29,",    ",F29," '1 ',   ",ROUND(T29,5),",   ",ROUND(U29,5),",   ",ROUND(V29,5),",   ",ROUND(S29,2),",   ",ROUND(S29,2),",   ",ROUND(S29,2),",  0.00000,  0.00000,  0.00000,  0.00000,1,   0.00,   1,1.0000")</f>
        <v xml:space="preserve">   6052,    6050 '1 ',   0.02648,   0.00668,   0.00027,   7.89,   7.89,   7.89,  0.00000,  0.00000,  0.00000,  0.00000,1,   0.00,   1,1.0000</v>
      </c>
    </row>
    <row r="30" spans="2:24" x14ac:dyDescent="0.2">
      <c r="B30" s="53">
        <v>2</v>
      </c>
      <c r="C30" s="132" t="s">
        <v>97</v>
      </c>
      <c r="D30" s="132" t="str">
        <f>C31</f>
        <v>T2</v>
      </c>
      <c r="E30" s="54">
        <f t="shared" si="11"/>
        <v>6050</v>
      </c>
      <c r="F30" s="54">
        <f>E31</f>
        <v>6048</v>
      </c>
      <c r="G30" s="119">
        <v>1300</v>
      </c>
      <c r="H30" s="135" t="s">
        <v>83</v>
      </c>
      <c r="I30" s="55">
        <f>$G30/1000*VLOOKUP($H30,'Cable Data'!$A$7:$G$11,2)</f>
        <v>0</v>
      </c>
      <c r="J30" s="56">
        <f>G30/VLOOKUP($H30,'Cable Data'!$A$7:$G$13,3,FALSE)</f>
        <v>1.9603538158880108E-5</v>
      </c>
      <c r="K30" s="57">
        <f>$G30/1000*VLOOKUP($H30,'Cable Data'!$A$7:$G$13,4,FALSE)</f>
        <v>0.27313000000000004</v>
      </c>
      <c r="L30" s="57">
        <f>$G30/1000*VLOOKUP($H30,'Cable Data'!$A$7:$G$13,5,FALSE)</f>
        <v>6.8900000000000003E-2</v>
      </c>
      <c r="M30" s="57">
        <f>$G30/1000*VLOOKUP($H30,'Cable Data'!$A$7:$G$11,6)</f>
        <v>0</v>
      </c>
      <c r="N30" s="57">
        <f>$G30/1000*VLOOKUP($H30,'Cable Data'!$A$7:$G$11,7)</f>
        <v>0</v>
      </c>
      <c r="O30" s="58">
        <v>3</v>
      </c>
      <c r="P30" s="59">
        <f>O30*$F$2</f>
        <v>6.8999999999999995</v>
      </c>
      <c r="Q30" s="60">
        <f t="shared" si="12"/>
        <v>115.47005383792514</v>
      </c>
      <c r="R30" s="61">
        <f>VLOOKUP($H30,'Cable Data'!$A$7:$H$13,8,FALSE)</f>
        <v>132</v>
      </c>
      <c r="S30" s="127">
        <f>R30*34.5*SQRT(3)/1000</f>
        <v>7.887759377668667</v>
      </c>
      <c r="T30" s="73">
        <f t="shared" si="13"/>
        <v>2.294727998319681E-2</v>
      </c>
      <c r="U30" s="73">
        <f t="shared" si="13"/>
        <v>5.788699852972065E-3</v>
      </c>
      <c r="V30" s="74">
        <f>J30*$T$1</f>
        <v>2.333311129360705E-4</v>
      </c>
      <c r="X30" t="str">
        <f>CONCATENATE("   ",E30,",    ",F30," '1 ',   ",ROUND(T30,5),",   ",ROUND(U30,5),",   ",ROUND(V30,5),",   ",ROUND(S30,2),",   ",ROUND(S30,2),",   ",ROUND(S30,2),",  0.00000,  0.00000,  0.00000,  0.00000,1,   0.00,   1,1.0000")</f>
        <v xml:space="preserve">   6050,    6048 '1 ',   0.02295,   0.00579,   0.00023,   7.89,   7.89,   7.89,  0.00000,  0.00000,  0.00000,  0.00000,1,   0.00,   1,1.0000</v>
      </c>
    </row>
    <row r="31" spans="2:24" ht="12.75" customHeight="1" x14ac:dyDescent="0.2">
      <c r="B31" s="53">
        <v>2</v>
      </c>
      <c r="C31" s="132" t="s">
        <v>86</v>
      </c>
      <c r="D31" s="132" t="str">
        <f>C32</f>
        <v>T1</v>
      </c>
      <c r="E31" s="54">
        <f t="shared" si="11"/>
        <v>6048</v>
      </c>
      <c r="F31" s="54">
        <f>E32</f>
        <v>6046</v>
      </c>
      <c r="G31" s="119">
        <v>1600</v>
      </c>
      <c r="H31" s="54" t="s">
        <v>81</v>
      </c>
      <c r="I31" s="55">
        <f>$G31/1000*VLOOKUP($H31,'Cable Data'!$A$7:$G$11,2)</f>
        <v>0</v>
      </c>
      <c r="J31" s="56">
        <f>G31/VLOOKUP($H31,'Cable Data'!$A$7:$G$13,3,FALSE)</f>
        <v>2.9556103687701792E-5</v>
      </c>
      <c r="K31" s="57">
        <f>$G31/1000*VLOOKUP($H31,'Cable Data'!$A$7:$G$13,4,FALSE)</f>
        <v>0.16816</v>
      </c>
      <c r="L31" s="57">
        <f>$G31/1000*VLOOKUP($H31,'Cable Data'!$A$7:$G$13,5,FALSE)</f>
        <v>7.6800000000000007E-2</v>
      </c>
      <c r="M31" s="57">
        <f>$G31/1000*VLOOKUP($H31,'Cable Data'!$A$7:$G$11,6)</f>
        <v>0</v>
      </c>
      <c r="N31" s="57">
        <f>$G31/1000*VLOOKUP($H31,'Cable Data'!$A$7:$G$11,7)</f>
        <v>0</v>
      </c>
      <c r="O31" s="58">
        <v>4</v>
      </c>
      <c r="P31" s="59">
        <f>O31*$F$2</f>
        <v>9.1999999999999993</v>
      </c>
      <c r="Q31" s="60">
        <f t="shared" si="12"/>
        <v>153.96007178390022</v>
      </c>
      <c r="R31" s="61">
        <f>VLOOKUP($H31,'Cable Data'!$A$7:$H$13,8,FALSE)</f>
        <v>197</v>
      </c>
      <c r="S31" s="127">
        <f>R31*34.5*SQRT(3)/1000</f>
        <v>11.771883313641874</v>
      </c>
      <c r="T31" s="73">
        <f t="shared" si="13"/>
        <v>1.4128124343625289E-2</v>
      </c>
      <c r="U31" s="73">
        <f t="shared" si="13"/>
        <v>6.4524259609325778E-3</v>
      </c>
      <c r="V31" s="74">
        <f>J31*$T$1</f>
        <v>3.5179152414287061E-4</v>
      </c>
      <c r="X31" t="str">
        <f>CONCATENATE("   ",E31,",    ",F31," '1 ',   ",ROUND(T31,5),",   ",ROUND(U31,5),",   ",ROUND(V31,5),",   ",ROUND(S31,2),",   ",ROUND(S31,2),",   ",ROUND(S31,2),",  0.00000,  0.00000,  0.00000,  0.00000,1,   0.00,   1,1.0000")</f>
        <v xml:space="preserve">   6048,    6046 '1 ',   0.01413,   0.00645,   0.00035,   11.77,   11.77,   11.77,  0.00000,  0.00000,  0.00000,  0.00000,1,   0.00,   1,1.0000</v>
      </c>
    </row>
    <row r="32" spans="2:24" ht="12.75" customHeight="1" x14ac:dyDescent="0.2">
      <c r="B32" s="53">
        <v>2</v>
      </c>
      <c r="C32" s="132" t="s">
        <v>87</v>
      </c>
      <c r="D32" s="132" t="str">
        <f>C33</f>
        <v>T43</v>
      </c>
      <c r="E32" s="54">
        <f t="shared" si="11"/>
        <v>6046</v>
      </c>
      <c r="F32" s="54">
        <f>E33</f>
        <v>6044</v>
      </c>
      <c r="G32" s="119">
        <v>1650</v>
      </c>
      <c r="H32" s="54" t="s">
        <v>81</v>
      </c>
      <c r="I32" s="55">
        <f>$G32/1000*VLOOKUP($H32,'Cable Data'!$A$7:$G$11,2)</f>
        <v>0</v>
      </c>
      <c r="J32" s="56">
        <f>G32/VLOOKUP($H32,'Cable Data'!$A$7:$G$13,3,FALSE)</f>
        <v>3.0479731927942473E-5</v>
      </c>
      <c r="K32" s="57">
        <f>$G32/1000*VLOOKUP($H32,'Cable Data'!$A$7:$G$13,4,FALSE)</f>
        <v>0.17341499999999999</v>
      </c>
      <c r="L32" s="57">
        <f>$G32/1000*VLOOKUP($H32,'Cable Data'!$A$7:$G$13,5,FALSE)</f>
        <v>7.9199999999999993E-2</v>
      </c>
      <c r="M32" s="57">
        <f>$G32/1000*VLOOKUP($H32,'Cable Data'!$A$7:$G$11,6)</f>
        <v>0</v>
      </c>
      <c r="N32" s="57">
        <f>$G32/1000*VLOOKUP($H32,'Cable Data'!$A$7:$G$11,7)</f>
        <v>0</v>
      </c>
      <c r="O32" s="58">
        <v>5</v>
      </c>
      <c r="P32" s="59">
        <f t="shared" ref="P32:P41" si="14">O32*$F$2</f>
        <v>11.5</v>
      </c>
      <c r="Q32" s="60">
        <f t="shared" si="12"/>
        <v>192.45008972987526</v>
      </c>
      <c r="R32" s="61">
        <f>VLOOKUP($H32,'Cable Data'!$A$7:$H$13,8,FALSE)</f>
        <v>197</v>
      </c>
      <c r="S32" s="127">
        <f t="shared" ref="S32:S41" si="15">R32*34.5*SQRT(3)/1000</f>
        <v>11.771883313641874</v>
      </c>
      <c r="T32" s="73">
        <f t="shared" ref="T32:T41" si="16">K32/$T$1</f>
        <v>1.4569628229363578E-2</v>
      </c>
      <c r="U32" s="73">
        <f t="shared" ref="U32:U41" si="17">L32/$T$1</f>
        <v>6.6540642722117196E-3</v>
      </c>
      <c r="V32" s="74">
        <f t="shared" ref="V32:V41" si="18">J32*$T$1</f>
        <v>3.627850092723353E-4</v>
      </c>
      <c r="X32" t="str">
        <f t="shared" ref="X32:X41" si="19">CONCATENATE("   ",E32,",    ",F32," '1 ',   ",ROUND(T32,5),",   ",ROUND(U32,5),",   ",ROUND(V32,5),",   ",ROUND(S32,2),",   ",ROUND(S32,2),",   ",ROUND(S32,2),",  0.00000,  0.00000,  0.00000,  0.00000,1,   0.00,   1,1.0000")</f>
        <v xml:space="preserve">   6046,    6044 '1 ',   0.01457,   0.00665,   0.00036,   11.77,   11.77,   11.77,  0.00000,  0.00000,  0.00000,  0.00000,1,   0.00,   1,1.0000</v>
      </c>
    </row>
    <row r="33" spans="2:24" x14ac:dyDescent="0.2">
      <c r="B33" s="53">
        <v>2</v>
      </c>
      <c r="C33" s="132" t="s">
        <v>110</v>
      </c>
      <c r="D33" s="132" t="s">
        <v>116</v>
      </c>
      <c r="E33" s="54">
        <f t="shared" si="11"/>
        <v>6044</v>
      </c>
      <c r="F33" s="54">
        <f>F34</f>
        <v>6040</v>
      </c>
      <c r="G33" s="119">
        <v>1100</v>
      </c>
      <c r="H33" s="54" t="s">
        <v>81</v>
      </c>
      <c r="I33" s="55">
        <f>$G33/1000*VLOOKUP($H33,'Cable Data'!$A$7:$G$11,2)</f>
        <v>0</v>
      </c>
      <c r="J33" s="56">
        <f>G33/VLOOKUP($H33,'Cable Data'!$A$7:$G$13,3,FALSE)</f>
        <v>2.0319821285294983E-5</v>
      </c>
      <c r="K33" s="57">
        <f>$G33/1000*VLOOKUP($H33,'Cable Data'!$A$7:$G$13,4,FALSE)</f>
        <v>0.11561</v>
      </c>
      <c r="L33" s="57">
        <f>$G33/1000*VLOOKUP($H33,'Cable Data'!$A$7:$G$13,5,FALSE)</f>
        <v>5.2800000000000007E-2</v>
      </c>
      <c r="M33" s="57">
        <f>$G33/1000*VLOOKUP($H33,'Cable Data'!$A$7:$G$11,6)</f>
        <v>0</v>
      </c>
      <c r="N33" s="57">
        <f>$G33/1000*VLOOKUP($H33,'Cable Data'!$A$7:$G$11,7)</f>
        <v>0</v>
      </c>
      <c r="O33" s="58">
        <v>6</v>
      </c>
      <c r="P33" s="59">
        <f t="shared" si="14"/>
        <v>13.799999999999999</v>
      </c>
      <c r="Q33" s="60">
        <f t="shared" si="12"/>
        <v>230.94010767585027</v>
      </c>
      <c r="R33" s="61">
        <f>VLOOKUP($H33,'Cable Data'!$A$7:$H$13,8,FALSE)</f>
        <v>197</v>
      </c>
      <c r="S33" s="127">
        <f t="shared" si="15"/>
        <v>11.771883313641874</v>
      </c>
      <c r="T33" s="73">
        <f t="shared" si="16"/>
        <v>9.7130854862423864E-3</v>
      </c>
      <c r="U33" s="73">
        <f t="shared" si="17"/>
        <v>4.436042848141147E-3</v>
      </c>
      <c r="V33" s="74">
        <f t="shared" si="18"/>
        <v>2.4185667284822354E-4</v>
      </c>
      <c r="X33" t="str">
        <f t="shared" si="19"/>
        <v xml:space="preserve">   6044,    6040 '1 ',   0.00971,   0.00444,   0.00024,   11.77,   11.77,   11.77,  0.00000,  0.00000,  0.00000,  0.00000,1,   0.00,   1,1.0000</v>
      </c>
    </row>
    <row r="34" spans="2:24" x14ac:dyDescent="0.2">
      <c r="B34" s="53">
        <v>2</v>
      </c>
      <c r="C34" s="132" t="s">
        <v>109</v>
      </c>
      <c r="D34" s="132" t="s">
        <v>116</v>
      </c>
      <c r="E34" s="54">
        <f t="shared" si="11"/>
        <v>6042</v>
      </c>
      <c r="F34" s="54">
        <f>E35</f>
        <v>6040</v>
      </c>
      <c r="G34" s="119">
        <v>1500</v>
      </c>
      <c r="H34" s="135" t="s">
        <v>83</v>
      </c>
      <c r="I34" s="55">
        <f>$G34/1000*VLOOKUP($H34,'Cable Data'!$A$7:$G$11,2)</f>
        <v>0</v>
      </c>
      <c r="J34" s="56">
        <f>G34/VLOOKUP($H34,'Cable Data'!$A$7:$G$13,3,FALSE)</f>
        <v>2.2619467106400127E-5</v>
      </c>
      <c r="K34" s="57">
        <f>$G34/1000*VLOOKUP($H34,'Cable Data'!$A$7:$G$13,4,FALSE)</f>
        <v>0.31515000000000004</v>
      </c>
      <c r="L34" s="57">
        <f>$G34/1000*VLOOKUP($H34,'Cable Data'!$A$7:$G$13,5,FALSE)</f>
        <v>7.9500000000000001E-2</v>
      </c>
      <c r="M34" s="57">
        <f>$G34/1000*VLOOKUP($H34,'Cable Data'!$A$7:$G$11,6)</f>
        <v>0</v>
      </c>
      <c r="N34" s="57">
        <f>$G34/1000*VLOOKUP($H34,'Cable Data'!$A$7:$G$11,7)</f>
        <v>0</v>
      </c>
      <c r="O34" s="58">
        <v>1</v>
      </c>
      <c r="P34" s="59">
        <f t="shared" si="14"/>
        <v>2.2999999999999998</v>
      </c>
      <c r="Q34" s="60">
        <f t="shared" si="12"/>
        <v>38.490017945975055</v>
      </c>
      <c r="R34" s="61">
        <f>VLOOKUP($H34,'Cable Data'!$A$7:$H$13,8,FALSE)</f>
        <v>132</v>
      </c>
      <c r="S34" s="127">
        <f t="shared" si="15"/>
        <v>7.887759377668667</v>
      </c>
      <c r="T34" s="73">
        <f t="shared" si="16"/>
        <v>2.6477630749842475E-2</v>
      </c>
      <c r="U34" s="73">
        <f t="shared" si="17"/>
        <v>6.6792690611216137E-3</v>
      </c>
      <c r="V34" s="74">
        <f t="shared" si="18"/>
        <v>2.6922820723392749E-4</v>
      </c>
      <c r="X34" t="str">
        <f t="shared" si="19"/>
        <v xml:space="preserve">   6042,    6040 '1 ',   0.02648,   0.00668,   0.00027,   7.89,   7.89,   7.89,  0.00000,  0.00000,  0.00000,  0.00000,1,   0.00,   1,1.0000</v>
      </c>
    </row>
    <row r="35" spans="2:24" x14ac:dyDescent="0.2">
      <c r="B35" s="53">
        <v>2</v>
      </c>
      <c r="C35" s="132" t="s">
        <v>116</v>
      </c>
      <c r="D35" s="132" t="s">
        <v>115</v>
      </c>
      <c r="E35" s="54">
        <f t="shared" si="11"/>
        <v>6040</v>
      </c>
      <c r="F35" s="54">
        <f>F38</f>
        <v>6030</v>
      </c>
      <c r="G35" s="119">
        <v>6250</v>
      </c>
      <c r="H35" s="54" t="s">
        <v>89</v>
      </c>
      <c r="I35" s="55">
        <f>$G35/1000*VLOOKUP($H35,'Cable Data'!$A$7:$G$11,2)</f>
        <v>0</v>
      </c>
      <c r="J35" s="56">
        <f>G35/VLOOKUP($H35,'Cable Data'!$A$7:$G$13,3,FALSE)</f>
        <v>1.5550883637174348E-4</v>
      </c>
      <c r="K35" s="57">
        <f>$G35/1000*VLOOKUP($H35,'Cable Data'!$A$7:$G$13,4,FALSE)</f>
        <v>0.28125</v>
      </c>
      <c r="L35" s="57">
        <f>$G35/1000*VLOOKUP($H35,'Cable Data'!$A$7:$G$13,5,FALSE)</f>
        <v>0.26250000000000001</v>
      </c>
      <c r="M35" s="57">
        <f>$G35/1000*VLOOKUP($H35,'Cable Data'!$A$7:$G$11,6)</f>
        <v>0</v>
      </c>
      <c r="N35" s="57">
        <f>$G35/1000*VLOOKUP($H35,'Cable Data'!$A$7:$G$11,7)</f>
        <v>0</v>
      </c>
      <c r="O35" s="58">
        <v>7</v>
      </c>
      <c r="P35" s="59">
        <f t="shared" si="14"/>
        <v>16.099999999999998</v>
      </c>
      <c r="Q35" s="60">
        <f t="shared" si="12"/>
        <v>269.43012562182537</v>
      </c>
      <c r="R35" s="61">
        <f>VLOOKUP($H35,'Cable Data'!$A$7:$H$13,8,FALSE)</f>
        <v>317</v>
      </c>
      <c r="S35" s="127">
        <f t="shared" si="15"/>
        <v>18.942573656977029</v>
      </c>
      <c r="T35" s="73">
        <f t="shared" si="16"/>
        <v>2.3629489603024575E-2</v>
      </c>
      <c r="U35" s="73">
        <f t="shared" si="17"/>
        <v>2.2054190296156271E-2</v>
      </c>
      <c r="V35" s="74">
        <f t="shared" si="18"/>
        <v>1.8509439249146768E-3</v>
      </c>
      <c r="X35" t="str">
        <f t="shared" si="19"/>
        <v xml:space="preserve">   6040,    6030 '1 ',   0.02363,   0.02205,   0.00185,   18.94,   18.94,   18.94,  0.00000,  0.00000,  0.00000,  0.00000,1,   0.00,   1,1.0000</v>
      </c>
    </row>
    <row r="36" spans="2:24" x14ac:dyDescent="0.2">
      <c r="B36" s="53">
        <v>2</v>
      </c>
      <c r="C36" s="132" t="s">
        <v>105</v>
      </c>
      <c r="D36" s="132" t="str">
        <f>C37</f>
        <v>T15</v>
      </c>
      <c r="E36" s="54">
        <f t="shared" si="11"/>
        <v>6038</v>
      </c>
      <c r="F36" s="54">
        <f>E37</f>
        <v>6036</v>
      </c>
      <c r="G36" s="119">
        <v>900</v>
      </c>
      <c r="H36" s="135" t="s">
        <v>83</v>
      </c>
      <c r="I36" s="55">
        <f>$G36/1000*VLOOKUP($H36,'Cable Data'!$A$7:$G$11,2)</f>
        <v>0</v>
      </c>
      <c r="J36" s="56">
        <f>G36/VLOOKUP($H36,'Cable Data'!$A$7:$G$13,3,FALSE)</f>
        <v>1.3571680263840076E-5</v>
      </c>
      <c r="K36" s="57">
        <f>$G36/1000*VLOOKUP($H36,'Cable Data'!$A$7:$G$13,4,FALSE)</f>
        <v>0.18909000000000001</v>
      </c>
      <c r="L36" s="57">
        <f>$G36/1000*VLOOKUP($H36,'Cable Data'!$A$7:$G$13,5,FALSE)</f>
        <v>4.7699999999999999E-2</v>
      </c>
      <c r="M36" s="57">
        <f>$G36/1000*VLOOKUP($H36,'Cable Data'!$A$7:$G$11,6)</f>
        <v>0</v>
      </c>
      <c r="N36" s="57">
        <f>$G36/1000*VLOOKUP($H36,'Cable Data'!$A$7:$G$11,7)</f>
        <v>0</v>
      </c>
      <c r="O36" s="58">
        <v>1</v>
      </c>
      <c r="P36" s="59">
        <f t="shared" si="14"/>
        <v>2.2999999999999998</v>
      </c>
      <c r="Q36" s="60">
        <f t="shared" si="12"/>
        <v>38.490017945975055</v>
      </c>
      <c r="R36" s="61">
        <f>VLOOKUP($H36,'Cable Data'!$A$7:$H$13,8,FALSE)</f>
        <v>132</v>
      </c>
      <c r="S36" s="127">
        <f t="shared" si="15"/>
        <v>7.887759377668667</v>
      </c>
      <c r="T36" s="73">
        <f t="shared" si="16"/>
        <v>1.5886578449905483E-2</v>
      </c>
      <c r="U36" s="73">
        <f t="shared" si="17"/>
        <v>4.0075614366729675E-3</v>
      </c>
      <c r="V36" s="74">
        <f t="shared" si="18"/>
        <v>1.615369243403565E-4</v>
      </c>
      <c r="X36" t="str">
        <f t="shared" si="19"/>
        <v xml:space="preserve">   6038,    6036 '1 ',   0.01589,   0.00401,   0.00016,   7.89,   7.89,   7.89,  0.00000,  0.00000,  0.00000,  0.00000,1,   0.00,   1,1.0000</v>
      </c>
    </row>
    <row r="37" spans="2:24" x14ac:dyDescent="0.2">
      <c r="B37" s="53">
        <v>2</v>
      </c>
      <c r="C37" s="132" t="s">
        <v>104</v>
      </c>
      <c r="D37" s="132" t="str">
        <f>C38</f>
        <v>T20</v>
      </c>
      <c r="E37" s="54">
        <f t="shared" si="11"/>
        <v>6036</v>
      </c>
      <c r="F37" s="54">
        <f>E38</f>
        <v>6034</v>
      </c>
      <c r="G37" s="119">
        <v>950</v>
      </c>
      <c r="H37" s="135" t="s">
        <v>83</v>
      </c>
      <c r="I37" s="55">
        <f>$G37/1000*VLOOKUP($H37,'Cable Data'!$A$7:$G$11,2)</f>
        <v>0</v>
      </c>
      <c r="J37" s="56">
        <f>G37/VLOOKUP($H37,'Cable Data'!$A$7:$G$13,3,FALSE)</f>
        <v>1.4325662500720079E-5</v>
      </c>
      <c r="K37" s="57">
        <f>$G37/1000*VLOOKUP($H37,'Cable Data'!$A$7:$G$13,4,FALSE)</f>
        <v>0.19959499999999999</v>
      </c>
      <c r="L37" s="57">
        <f>$G37/1000*VLOOKUP($H37,'Cable Data'!$A$7:$G$13,5,FALSE)</f>
        <v>5.0349999999999999E-2</v>
      </c>
      <c r="M37" s="57">
        <f>$G37/1000*VLOOKUP($H37,'Cable Data'!$A$7:$G$11,6)</f>
        <v>0</v>
      </c>
      <c r="N37" s="57">
        <f>$G37/1000*VLOOKUP($H37,'Cable Data'!$A$7:$G$11,7)</f>
        <v>0</v>
      </c>
      <c r="O37" s="58">
        <v>2</v>
      </c>
      <c r="P37" s="59">
        <f t="shared" si="14"/>
        <v>4.5999999999999996</v>
      </c>
      <c r="Q37" s="60">
        <f t="shared" si="12"/>
        <v>76.980035891950109</v>
      </c>
      <c r="R37" s="61">
        <f>VLOOKUP($H37,'Cable Data'!$A$7:$H$13,8,FALSE)</f>
        <v>132</v>
      </c>
      <c r="S37" s="127">
        <f t="shared" si="15"/>
        <v>7.887759377668667</v>
      </c>
      <c r="T37" s="73">
        <f t="shared" si="16"/>
        <v>1.6769166141566899E-2</v>
      </c>
      <c r="U37" s="73">
        <f t="shared" si="17"/>
        <v>4.2302037387103551E-3</v>
      </c>
      <c r="V37" s="74">
        <f t="shared" si="18"/>
        <v>1.7051119791482074E-4</v>
      </c>
      <c r="X37" t="str">
        <f t="shared" si="19"/>
        <v xml:space="preserve">   6036,    6034 '1 ',   0.01677,   0.00423,   0.00017,   7.89,   7.89,   7.89,  0.00000,  0.00000,  0.00000,  0.00000,1,   0.00,   1,1.0000</v>
      </c>
    </row>
    <row r="38" spans="2:24" x14ac:dyDescent="0.2">
      <c r="B38" s="53">
        <v>2</v>
      </c>
      <c r="C38" s="132" t="s">
        <v>100</v>
      </c>
      <c r="D38" s="132" t="s">
        <v>115</v>
      </c>
      <c r="E38" s="54">
        <f t="shared" si="11"/>
        <v>6034</v>
      </c>
      <c r="F38" s="54">
        <f>F39</f>
        <v>6030</v>
      </c>
      <c r="G38" s="119">
        <v>600</v>
      </c>
      <c r="H38" s="135" t="s">
        <v>83</v>
      </c>
      <c r="I38" s="55">
        <f>$G38/1000*VLOOKUP($H38,'Cable Data'!$A$7:$G$11,2)</f>
        <v>0</v>
      </c>
      <c r="J38" s="56">
        <f>G38/VLOOKUP($H38,'Cable Data'!$A$7:$G$13,3,FALSE)</f>
        <v>9.0477868425600509E-6</v>
      </c>
      <c r="K38" s="57">
        <f>$G38/1000*VLOOKUP($H38,'Cable Data'!$A$7:$G$13,4,FALSE)</f>
        <v>0.12606000000000001</v>
      </c>
      <c r="L38" s="57">
        <f>$G38/1000*VLOOKUP($H38,'Cable Data'!$A$7:$G$13,5,FALSE)</f>
        <v>3.1799999999999995E-2</v>
      </c>
      <c r="M38" s="57">
        <f>$G38/1000*VLOOKUP($H38,'Cable Data'!$A$7:$G$11,6)</f>
        <v>0</v>
      </c>
      <c r="N38" s="57">
        <f>$G38/1000*VLOOKUP($H38,'Cable Data'!$A$7:$G$11,7)</f>
        <v>0</v>
      </c>
      <c r="O38" s="58">
        <v>3</v>
      </c>
      <c r="P38" s="59">
        <f t="shared" si="14"/>
        <v>6.8999999999999995</v>
      </c>
      <c r="Q38" s="60">
        <f t="shared" si="12"/>
        <v>115.47005383792514</v>
      </c>
      <c r="R38" s="61">
        <f>VLOOKUP($H38,'Cable Data'!$A$7:$H$13,8,FALSE)</f>
        <v>132</v>
      </c>
      <c r="S38" s="127">
        <f t="shared" si="15"/>
        <v>7.887759377668667</v>
      </c>
      <c r="T38" s="73">
        <f t="shared" si="16"/>
        <v>1.0591052299936989E-2</v>
      </c>
      <c r="U38" s="73">
        <f t="shared" si="17"/>
        <v>2.6717076244486449E-3</v>
      </c>
      <c r="V38" s="74">
        <f t="shared" si="18"/>
        <v>1.07691282893571E-4</v>
      </c>
      <c r="X38" t="str">
        <f t="shared" si="19"/>
        <v xml:space="preserve">   6034,    6030 '1 ',   0.01059,   0.00267,   0.00011,   7.89,   7.89,   7.89,  0.00000,  0.00000,  0.00000,  0.00000,1,   0.00,   1,1.0000</v>
      </c>
    </row>
    <row r="39" spans="2:24" x14ac:dyDescent="0.2">
      <c r="B39" s="53">
        <v>2</v>
      </c>
      <c r="C39" s="132" t="s">
        <v>101</v>
      </c>
      <c r="D39" s="132" t="str">
        <f>C40</f>
        <v>JB2-1</v>
      </c>
      <c r="E39" s="54">
        <f t="shared" si="11"/>
        <v>6032</v>
      </c>
      <c r="F39" s="54">
        <f>E40</f>
        <v>6030</v>
      </c>
      <c r="G39" s="119">
        <v>900</v>
      </c>
      <c r="H39" s="135" t="s">
        <v>83</v>
      </c>
      <c r="I39" s="55">
        <f>$G39/1000*VLOOKUP($H39,'Cable Data'!$A$7:$G$11,2)</f>
        <v>0</v>
      </c>
      <c r="J39" s="56">
        <f>G39/VLOOKUP($H39,'Cable Data'!$A$7:$G$13,3,FALSE)</f>
        <v>1.3571680263840076E-5</v>
      </c>
      <c r="K39" s="57">
        <f>$G39/1000*VLOOKUP($H39,'Cable Data'!$A$7:$G$13,4,FALSE)</f>
        <v>0.18909000000000001</v>
      </c>
      <c r="L39" s="57">
        <f>$G39/1000*VLOOKUP($H39,'Cable Data'!$A$7:$G$13,5,FALSE)</f>
        <v>4.7699999999999999E-2</v>
      </c>
      <c r="M39" s="57">
        <f>$G39/1000*VLOOKUP($H39,'Cable Data'!$A$7:$G$11,6)</f>
        <v>0</v>
      </c>
      <c r="N39" s="57">
        <f>$G39/1000*VLOOKUP($H39,'Cable Data'!$A$7:$G$11,7)</f>
        <v>0</v>
      </c>
      <c r="O39" s="58">
        <v>1</v>
      </c>
      <c r="P39" s="59">
        <f t="shared" si="14"/>
        <v>2.2999999999999998</v>
      </c>
      <c r="Q39" s="60">
        <f t="shared" si="12"/>
        <v>38.490017945975055</v>
      </c>
      <c r="R39" s="61">
        <f>VLOOKUP($H39,'Cable Data'!$A$7:$H$13,8,FALSE)</f>
        <v>132</v>
      </c>
      <c r="S39" s="127">
        <f t="shared" si="15"/>
        <v>7.887759377668667</v>
      </c>
      <c r="T39" s="73">
        <f t="shared" si="16"/>
        <v>1.5886578449905483E-2</v>
      </c>
      <c r="U39" s="73">
        <f t="shared" si="17"/>
        <v>4.0075614366729675E-3</v>
      </c>
      <c r="V39" s="74">
        <f t="shared" si="18"/>
        <v>1.615369243403565E-4</v>
      </c>
      <c r="X39" t="str">
        <f t="shared" si="19"/>
        <v xml:space="preserve">   6032,    6030 '1 ',   0.01589,   0.00401,   0.00016,   7.89,   7.89,   7.89,  0.00000,  0.00000,  0.00000,  0.00000,1,   0.00,   1,1.0000</v>
      </c>
    </row>
    <row r="40" spans="2:24" x14ac:dyDescent="0.2">
      <c r="B40" s="53">
        <v>2</v>
      </c>
      <c r="C40" s="132" t="s">
        <v>115</v>
      </c>
      <c r="D40" s="132" t="s">
        <v>99</v>
      </c>
      <c r="E40" s="54">
        <f t="shared" si="11"/>
        <v>6030</v>
      </c>
      <c r="F40" s="54">
        <f>E41</f>
        <v>6028</v>
      </c>
      <c r="G40" s="119">
        <v>900</v>
      </c>
      <c r="H40" s="134" t="s">
        <v>111</v>
      </c>
      <c r="I40" s="55">
        <f>$G40/1000*VLOOKUP($H40,'Cable Data'!$A$7:$G$11,2)</f>
        <v>0</v>
      </c>
      <c r="J40" s="56">
        <f>G40/VLOOKUP($H40,'Cable Data'!$A$7:$G$13,3,FALSE)</f>
        <v>2.917911277406117E-5</v>
      </c>
      <c r="K40" s="57">
        <f>$G40/1000*VLOOKUP($H40,'Cable Data'!$A$7:$G$13,4,FALSE)</f>
        <v>2.52E-2</v>
      </c>
      <c r="L40" s="57">
        <f>$G40/1000*VLOOKUP($H40,'Cable Data'!$A$7:$G$13,5,FALSE)</f>
        <v>3.4200000000000001E-2</v>
      </c>
      <c r="M40" s="57">
        <f>$G40/1000*VLOOKUP($H40,'Cable Data'!$A$7:$G$11,6)</f>
        <v>0</v>
      </c>
      <c r="N40" s="57">
        <f>$G40/1000*VLOOKUP($H40,'Cable Data'!$A$7:$G$11,7)</f>
        <v>0</v>
      </c>
      <c r="O40" s="58">
        <v>11</v>
      </c>
      <c r="P40" s="59">
        <f>O40*$F$2</f>
        <v>25.299999999999997</v>
      </c>
      <c r="Q40" s="60">
        <f t="shared" si="12"/>
        <v>423.39019740572547</v>
      </c>
      <c r="R40" s="61">
        <f>VLOOKUP($H40,'Cable Data'!$A$7:$H$13,8,FALSE)</f>
        <v>425</v>
      </c>
      <c r="S40" s="127">
        <f>R40*34.5*SQRT(3)/1000</f>
        <v>25.396194965978662</v>
      </c>
      <c r="T40" s="73">
        <f>K40/$T$1</f>
        <v>2.1172022684310021E-3</v>
      </c>
      <c r="U40" s="73">
        <f>L40/$T$1</f>
        <v>2.8733459357277885E-3</v>
      </c>
      <c r="V40" s="74">
        <f>J40*$T$1</f>
        <v>3.4730438979326309E-4</v>
      </c>
      <c r="X40" t="str">
        <f>CONCATENATE("   ",E40,",    ",F40," '1 ',   ",ROUND(T40,5),",   ",ROUND(U40,5),",   ",ROUND(V40,5),",   ",ROUND(S40,2),",   ",ROUND(S40,2),",   ",ROUND(S40,2),",  0.00000,  0.00000,  0.00000,  0.00000,1,   0.00,   1,1.0000")</f>
        <v xml:space="preserve">   6030,    6028 '1 ',   0.00212,   0.00287,   0.00035,   25.4,   25.4,   25.4,  0.00000,  0.00000,  0.00000,  0.00000,1,   0.00,   1,1.0000</v>
      </c>
    </row>
    <row r="41" spans="2:24" x14ac:dyDescent="0.2">
      <c r="B41" s="53">
        <v>2</v>
      </c>
      <c r="C41" s="132" t="s">
        <v>99</v>
      </c>
      <c r="D41" s="132" t="s">
        <v>85</v>
      </c>
      <c r="E41" s="62">
        <f>E8+2</f>
        <v>6028</v>
      </c>
      <c r="F41" s="62">
        <f>E5</f>
        <v>6000</v>
      </c>
      <c r="G41" s="119">
        <v>5900</v>
      </c>
      <c r="H41" s="134" t="s">
        <v>111</v>
      </c>
      <c r="I41" s="55">
        <f>$G41/1000*VLOOKUP($H41,'Cable Data'!$A$7:$G$11,2)</f>
        <v>0</v>
      </c>
      <c r="J41" s="56">
        <f>G41/VLOOKUP($H41,'Cable Data'!$A$7:$G$13,3,FALSE)</f>
        <v>1.9128529485217877E-4</v>
      </c>
      <c r="K41" s="57">
        <f>$G41/1000*VLOOKUP($H41,'Cable Data'!$A$7:$G$13,4,FALSE)</f>
        <v>0.16520000000000001</v>
      </c>
      <c r="L41" s="57">
        <f>$G41/1000*VLOOKUP($H41,'Cable Data'!$A$7:$G$13,5,FALSE)</f>
        <v>0.22420000000000001</v>
      </c>
      <c r="M41" s="57">
        <f>$G41/1000*VLOOKUP($H41,'Cable Data'!$A$7:$G$11,6)</f>
        <v>0</v>
      </c>
      <c r="N41" s="57">
        <f>$G41/1000*VLOOKUP($H41,'Cable Data'!$A$7:$G$11,7)</f>
        <v>0</v>
      </c>
      <c r="O41" s="58">
        <v>12</v>
      </c>
      <c r="P41" s="59">
        <f t="shared" si="14"/>
        <v>27.599999999999998</v>
      </c>
      <c r="Q41" s="60">
        <f t="shared" si="12"/>
        <v>461.88021535170054</v>
      </c>
      <c r="R41" s="61">
        <f>VLOOKUP($H41,'Cable Data'!$A$7:$H$13,8,FALSE)</f>
        <v>425</v>
      </c>
      <c r="S41" s="127">
        <f t="shared" si="15"/>
        <v>25.396194965978662</v>
      </c>
      <c r="T41" s="73">
        <f t="shared" si="16"/>
        <v>1.387943709304768E-2</v>
      </c>
      <c r="U41" s="73">
        <f t="shared" si="17"/>
        <v>1.883637891199328E-2</v>
      </c>
      <c r="V41" s="74">
        <f t="shared" si="18"/>
        <v>2.2767732219780576E-3</v>
      </c>
      <c r="X41" t="str">
        <f t="shared" si="19"/>
        <v xml:space="preserve">   6028,    6000 '1 ',   0.01388,   0.01884,   0.00228,   25.4,   25.4,   25.4,  0.00000,  0.00000,  0.00000,  0.00000,1,   0.00,   1,1.0000</v>
      </c>
    </row>
    <row r="46" spans="2:24" x14ac:dyDescent="0.2">
      <c r="B46" s="68"/>
      <c r="C46" s="68"/>
      <c r="D46" s="68"/>
      <c r="E46" s="68"/>
      <c r="F46" s="68"/>
      <c r="G46" s="69"/>
      <c r="H46" s="68"/>
      <c r="I46"/>
      <c r="K46" s="35"/>
    </row>
    <row r="47" spans="2:24" x14ac:dyDescent="0.2">
      <c r="H47" s="36"/>
      <c r="I47" s="36"/>
    </row>
    <row r="48" spans="2:24" x14ac:dyDescent="0.2">
      <c r="H48" s="36"/>
      <c r="I48" s="36"/>
    </row>
    <row r="49" spans="8:9" x14ac:dyDescent="0.2">
      <c r="H49" s="35"/>
      <c r="I49" s="36"/>
    </row>
    <row r="50" spans="8:9" x14ac:dyDescent="0.2">
      <c r="H50" s="35"/>
      <c r="I50" s="36"/>
    </row>
    <row r="51" spans="8:9" x14ac:dyDescent="0.2">
      <c r="H51" s="35"/>
      <c r="I51" s="36"/>
    </row>
    <row r="52" spans="8:9" x14ac:dyDescent="0.2">
      <c r="H52" s="36"/>
      <c r="I52" s="36"/>
    </row>
    <row r="53" spans="8:9" x14ac:dyDescent="0.2">
      <c r="H53" s="36"/>
      <c r="I53" s="36"/>
    </row>
    <row r="54" spans="8:9" x14ac:dyDescent="0.2">
      <c r="H54" s="36"/>
      <c r="I54" s="36"/>
    </row>
    <row r="55" spans="8:9" x14ac:dyDescent="0.2">
      <c r="H55" s="36"/>
      <c r="I55" s="36"/>
    </row>
    <row r="56" spans="8:9" x14ac:dyDescent="0.2">
      <c r="H56" s="36"/>
      <c r="I56" s="36"/>
    </row>
    <row r="57" spans="8:9" x14ac:dyDescent="0.2">
      <c r="H57" s="36"/>
      <c r="I57" s="36"/>
    </row>
    <row r="58" spans="8:9" x14ac:dyDescent="0.2">
      <c r="H58" s="36"/>
      <c r="I58" s="36"/>
    </row>
    <row r="59" spans="8:9" x14ac:dyDescent="0.2">
      <c r="H59" s="35"/>
      <c r="I59" s="68"/>
    </row>
    <row r="60" spans="8:9" x14ac:dyDescent="0.2">
      <c r="H60" s="35"/>
      <c r="I60" s="68"/>
    </row>
    <row r="61" spans="8:9" x14ac:dyDescent="0.2">
      <c r="H61" s="35"/>
      <c r="I61" s="68"/>
    </row>
    <row r="62" spans="8:9" x14ac:dyDescent="0.2">
      <c r="H62" s="35"/>
      <c r="I62" s="68"/>
    </row>
    <row r="63" spans="8:9" x14ac:dyDescent="0.2">
      <c r="H63" s="35"/>
      <c r="I63" s="68"/>
    </row>
    <row r="64" spans="8:9" x14ac:dyDescent="0.2">
      <c r="H64" s="35"/>
      <c r="I64" s="68"/>
    </row>
    <row r="65" spans="8:10" x14ac:dyDescent="0.2">
      <c r="H65" s="35"/>
      <c r="I65" s="68"/>
    </row>
    <row r="66" spans="8:10" x14ac:dyDescent="0.2">
      <c r="H66" s="35"/>
      <c r="I66" s="68"/>
    </row>
    <row r="67" spans="8:10" x14ac:dyDescent="0.2">
      <c r="H67" s="35"/>
      <c r="I67" s="36"/>
    </row>
    <row r="68" spans="8:10" x14ac:dyDescent="0.2">
      <c r="H68" s="36"/>
      <c r="I68" s="36"/>
    </row>
    <row r="69" spans="8:10" x14ac:dyDescent="0.2">
      <c r="H69" s="68"/>
      <c r="I69" s="68"/>
    </row>
    <row r="70" spans="8:10" x14ac:dyDescent="0.2">
      <c r="H70" s="35"/>
      <c r="I70" s="36"/>
    </row>
    <row r="71" spans="8:10" x14ac:dyDescent="0.2">
      <c r="H71" s="36"/>
    </row>
    <row r="72" spans="8:10" x14ac:dyDescent="0.2">
      <c r="H72" s="35"/>
      <c r="I72" s="36"/>
    </row>
    <row r="73" spans="8:10" x14ac:dyDescent="0.2">
      <c r="H73" s="68"/>
      <c r="I73" s="68"/>
    </row>
    <row r="74" spans="8:10" x14ac:dyDescent="0.2">
      <c r="H74" s="68"/>
      <c r="I74" s="36"/>
    </row>
    <row r="75" spans="8:10" x14ac:dyDescent="0.2">
      <c r="H75" s="68"/>
      <c r="I75" s="68"/>
    </row>
    <row r="76" spans="8:10" x14ac:dyDescent="0.2">
      <c r="H76" s="68"/>
      <c r="I76" s="36"/>
    </row>
    <row r="77" spans="8:10" x14ac:dyDescent="0.2">
      <c r="H77" s="35"/>
      <c r="I77" s="68"/>
      <c r="J77" s="36"/>
    </row>
    <row r="78" spans="8:10" x14ac:dyDescent="0.2">
      <c r="H78" s="35"/>
      <c r="I78" s="68"/>
      <c r="J78" s="36"/>
    </row>
    <row r="79" spans="8:10" x14ac:dyDescent="0.2">
      <c r="H79" s="36"/>
      <c r="I79" s="36"/>
      <c r="J79" s="36"/>
    </row>
    <row r="80" spans="8:10" x14ac:dyDescent="0.2">
      <c r="H80" s="35"/>
      <c r="I80" s="36"/>
      <c r="J80" s="36"/>
    </row>
    <row r="81" spans="8:10" x14ac:dyDescent="0.2">
      <c r="H81" s="36"/>
      <c r="I81" s="36"/>
      <c r="J81" s="36"/>
    </row>
    <row r="82" spans="8:10" x14ac:dyDescent="0.2">
      <c r="H82" s="68"/>
      <c r="I82" s="36"/>
      <c r="J82" s="36"/>
    </row>
    <row r="83" spans="8:10" x14ac:dyDescent="0.2">
      <c r="H83" s="36"/>
      <c r="I83" s="36"/>
      <c r="J83" s="36"/>
    </row>
    <row r="84" spans="8:10" x14ac:dyDescent="0.2">
      <c r="H84" s="35"/>
      <c r="I84" s="36"/>
      <c r="J84" s="36"/>
    </row>
    <row r="85" spans="8:10" x14ac:dyDescent="0.2">
      <c r="H85" s="36"/>
      <c r="I85" s="36"/>
      <c r="J85" s="36"/>
    </row>
    <row r="86" spans="8:10" x14ac:dyDescent="0.2">
      <c r="H86" s="36"/>
      <c r="I86" s="36"/>
      <c r="J86" s="36"/>
    </row>
    <row r="87" spans="8:10" x14ac:dyDescent="0.2">
      <c r="H87" s="36"/>
      <c r="I87" s="68"/>
      <c r="J87" s="36"/>
    </row>
    <row r="88" spans="8:10" x14ac:dyDescent="0.2">
      <c r="H88" s="36"/>
      <c r="I88" s="36"/>
      <c r="J88" s="36"/>
    </row>
    <row r="89" spans="8:10" x14ac:dyDescent="0.2">
      <c r="H89" s="36"/>
      <c r="I89" s="36"/>
      <c r="J89" s="36"/>
    </row>
    <row r="90" spans="8:10" x14ac:dyDescent="0.2">
      <c r="H90" s="35"/>
      <c r="I90" s="36"/>
      <c r="J90" s="36"/>
    </row>
    <row r="91" spans="8:10" x14ac:dyDescent="0.2">
      <c r="H91" s="68"/>
      <c r="I91" s="36"/>
      <c r="J91" s="36"/>
    </row>
    <row r="92" spans="8:10" x14ac:dyDescent="0.2">
      <c r="H92" s="36"/>
      <c r="I92" s="36"/>
      <c r="J92" s="36"/>
    </row>
    <row r="93" spans="8:10" x14ac:dyDescent="0.2">
      <c r="H93" s="35"/>
      <c r="I93" s="36"/>
      <c r="J93" s="36"/>
    </row>
    <row r="94" spans="8:10" x14ac:dyDescent="0.2">
      <c r="H94" s="68"/>
      <c r="I94" s="36"/>
      <c r="J94" s="36"/>
    </row>
    <row r="95" spans="8:10" x14ac:dyDescent="0.2">
      <c r="H95" s="36"/>
      <c r="I95" s="36"/>
      <c r="J95" s="36"/>
    </row>
    <row r="96" spans="8:10" x14ac:dyDescent="0.2">
      <c r="H96" s="36"/>
      <c r="I96" s="36"/>
      <c r="J96" s="36"/>
    </row>
    <row r="97" spans="8:10" x14ac:dyDescent="0.2">
      <c r="H97" s="36"/>
      <c r="I97" s="36"/>
      <c r="J97" s="36"/>
    </row>
    <row r="98" spans="8:10" x14ac:dyDescent="0.2">
      <c r="H98" s="68"/>
      <c r="I98" s="36"/>
      <c r="J98" s="36"/>
    </row>
    <row r="99" spans="8:10" x14ac:dyDescent="0.2">
      <c r="H99" s="36"/>
      <c r="I99" s="36"/>
      <c r="J99" s="36"/>
    </row>
    <row r="100" spans="8:10" x14ac:dyDescent="0.2">
      <c r="H100" s="36"/>
      <c r="I100" s="36"/>
      <c r="J100" s="36"/>
    </row>
    <row r="101" spans="8:10" x14ac:dyDescent="0.2">
      <c r="H101" s="36"/>
      <c r="I101" s="36"/>
      <c r="J101" s="36"/>
    </row>
    <row r="102" spans="8:10" x14ac:dyDescent="0.2">
      <c r="H102" s="68"/>
      <c r="I102" s="36"/>
      <c r="J102" s="36"/>
    </row>
    <row r="103" spans="8:10" x14ac:dyDescent="0.2">
      <c r="H103" s="68"/>
      <c r="I103" s="36"/>
      <c r="J103" s="36"/>
    </row>
    <row r="104" spans="8:10" x14ac:dyDescent="0.2">
      <c r="H104" s="68"/>
      <c r="I104" s="36"/>
      <c r="J104" s="36"/>
    </row>
    <row r="105" spans="8:10" x14ac:dyDescent="0.2">
      <c r="H105" s="68"/>
      <c r="I105" s="36"/>
      <c r="J105" s="36"/>
    </row>
    <row r="106" spans="8:10" x14ac:dyDescent="0.2">
      <c r="H106" s="36"/>
      <c r="I106" s="36"/>
      <c r="J106" s="36"/>
    </row>
    <row r="107" spans="8:10" x14ac:dyDescent="0.2">
      <c r="H107" s="68"/>
      <c r="I107" s="36"/>
      <c r="J107" s="36"/>
    </row>
    <row r="108" spans="8:10" x14ac:dyDescent="0.2">
      <c r="H108" s="68"/>
      <c r="I108" s="36"/>
      <c r="J108" s="36"/>
    </row>
    <row r="109" spans="8:10" x14ac:dyDescent="0.2">
      <c r="H109" s="36"/>
      <c r="I109" s="36"/>
      <c r="J109" s="36"/>
    </row>
    <row r="110" spans="8:10" x14ac:dyDescent="0.2">
      <c r="H110" s="36"/>
      <c r="I110" s="36"/>
      <c r="J110" s="36"/>
    </row>
    <row r="111" spans="8:10" x14ac:dyDescent="0.2">
      <c r="H111" s="36"/>
      <c r="I111" s="36"/>
      <c r="J111" s="36"/>
    </row>
    <row r="112" spans="8:10" x14ac:dyDescent="0.2">
      <c r="H112" s="36"/>
      <c r="I112" s="36"/>
      <c r="J112" s="36"/>
    </row>
    <row r="113" spans="8:10" x14ac:dyDescent="0.2">
      <c r="H113" s="36"/>
      <c r="I113" s="36"/>
      <c r="J113" s="36"/>
    </row>
    <row r="114" spans="8:10" x14ac:dyDescent="0.2">
      <c r="H114" s="36"/>
      <c r="I114" s="36"/>
      <c r="J114" s="36"/>
    </row>
    <row r="115" spans="8:10" x14ac:dyDescent="0.2">
      <c r="H115" s="36"/>
      <c r="I115" s="36"/>
      <c r="J115" s="36"/>
    </row>
    <row r="116" spans="8:10" x14ac:dyDescent="0.2">
      <c r="H116" s="35"/>
      <c r="I116" s="68"/>
      <c r="J116" s="36"/>
    </row>
    <row r="117" spans="8:10" x14ac:dyDescent="0.2">
      <c r="H117" s="36"/>
      <c r="I117" s="68"/>
      <c r="J117" s="36"/>
    </row>
    <row r="118" spans="8:10" x14ac:dyDescent="0.2">
      <c r="H118" s="36"/>
      <c r="I118" s="36"/>
      <c r="J118" s="36"/>
    </row>
    <row r="119" spans="8:10" x14ac:dyDescent="0.2">
      <c r="H119" s="36"/>
      <c r="I119" s="36"/>
      <c r="J119" s="36"/>
    </row>
    <row r="120" spans="8:10" x14ac:dyDescent="0.2">
      <c r="H120" s="36"/>
      <c r="I120" s="36"/>
      <c r="J120" s="36"/>
    </row>
    <row r="121" spans="8:10" x14ac:dyDescent="0.2">
      <c r="H121" s="36"/>
      <c r="I121" s="36"/>
      <c r="J121" s="36"/>
    </row>
    <row r="122" spans="8:10" x14ac:dyDescent="0.2">
      <c r="H122" s="36"/>
      <c r="I122" s="36"/>
      <c r="J122" s="36"/>
    </row>
    <row r="123" spans="8:10" x14ac:dyDescent="0.2">
      <c r="H123" s="36"/>
      <c r="I123" s="36"/>
      <c r="J123" s="36"/>
    </row>
    <row r="124" spans="8:10" x14ac:dyDescent="0.2">
      <c r="H124" s="68"/>
      <c r="I124" s="36"/>
      <c r="J124" s="36"/>
    </row>
    <row r="125" spans="8:10" x14ac:dyDescent="0.2">
      <c r="H125" s="36"/>
      <c r="I125" s="36"/>
      <c r="J125" s="36"/>
    </row>
    <row r="126" spans="8:10" x14ac:dyDescent="0.2">
      <c r="H126" s="36"/>
      <c r="I126" s="36"/>
      <c r="J126" s="36"/>
    </row>
    <row r="127" spans="8:10" x14ac:dyDescent="0.2">
      <c r="H127" s="36"/>
      <c r="I127" s="36"/>
      <c r="J127" s="36"/>
    </row>
    <row r="128" spans="8:10" x14ac:dyDescent="0.2">
      <c r="H128" s="36"/>
      <c r="I128" s="36"/>
      <c r="J128" s="36"/>
    </row>
    <row r="129" spans="8:10" x14ac:dyDescent="0.2">
      <c r="H129" s="36"/>
      <c r="I129" s="36"/>
      <c r="J129" s="36"/>
    </row>
    <row r="130" spans="8:10" x14ac:dyDescent="0.2">
      <c r="H130" s="68"/>
      <c r="I130" s="36"/>
      <c r="J130" s="36"/>
    </row>
    <row r="131" spans="8:10" x14ac:dyDescent="0.2">
      <c r="H131" s="68"/>
      <c r="I131" s="36"/>
      <c r="J131" s="36"/>
    </row>
    <row r="132" spans="8:10" x14ac:dyDescent="0.2">
      <c r="H132" s="68"/>
      <c r="I132" s="36"/>
      <c r="J132" s="36"/>
    </row>
    <row r="133" spans="8:10" x14ac:dyDescent="0.2">
      <c r="H133" s="68"/>
      <c r="I133" s="36"/>
      <c r="J133" s="36"/>
    </row>
    <row r="134" spans="8:10" x14ac:dyDescent="0.2">
      <c r="H134" s="68"/>
      <c r="I134" s="36"/>
      <c r="J134" s="36"/>
    </row>
    <row r="135" spans="8:10" x14ac:dyDescent="0.2">
      <c r="H135" s="68"/>
      <c r="I135" s="36"/>
      <c r="J135" s="36"/>
    </row>
    <row r="136" spans="8:10" x14ac:dyDescent="0.2">
      <c r="H136" s="68"/>
      <c r="I136" s="36"/>
      <c r="J136" s="36"/>
    </row>
    <row r="137" spans="8:10" x14ac:dyDescent="0.2">
      <c r="H137" s="68"/>
      <c r="I137" s="36"/>
      <c r="J137" s="36"/>
    </row>
    <row r="138" spans="8:10" x14ac:dyDescent="0.2">
      <c r="H138" s="68"/>
      <c r="I138" s="36"/>
      <c r="J138" s="36"/>
    </row>
    <row r="139" spans="8:10" x14ac:dyDescent="0.2">
      <c r="H139" s="36"/>
      <c r="I139" s="36"/>
      <c r="J139" s="36"/>
    </row>
    <row r="140" spans="8:10" x14ac:dyDescent="0.2">
      <c r="H140" s="36"/>
      <c r="I140" s="36"/>
      <c r="J140" s="36"/>
    </row>
    <row r="141" spans="8:10" x14ac:dyDescent="0.2">
      <c r="H141" s="68"/>
      <c r="I141" s="36"/>
      <c r="J141" s="36"/>
    </row>
    <row r="142" spans="8:10" x14ac:dyDescent="0.2">
      <c r="H142" s="68"/>
      <c r="I142" s="36"/>
      <c r="J142" s="36"/>
    </row>
    <row r="143" spans="8:10" x14ac:dyDescent="0.2">
      <c r="H143" s="36"/>
      <c r="I143" s="36"/>
      <c r="J143" s="36"/>
    </row>
    <row r="144" spans="8:10" x14ac:dyDescent="0.2">
      <c r="H144" s="68"/>
      <c r="I144" s="36"/>
      <c r="J144" s="36"/>
    </row>
    <row r="145" spans="8:10" x14ac:dyDescent="0.2">
      <c r="H145" s="68"/>
      <c r="I145" s="36"/>
      <c r="J145" s="36"/>
    </row>
    <row r="146" spans="8:10" x14ac:dyDescent="0.2">
      <c r="H146" s="68"/>
      <c r="I146" s="36"/>
      <c r="J146" s="36"/>
    </row>
    <row r="147" spans="8:10" x14ac:dyDescent="0.2">
      <c r="H147" s="36"/>
      <c r="I147" s="36"/>
    </row>
    <row r="148" spans="8:10" x14ac:dyDescent="0.2">
      <c r="H148" s="68"/>
      <c r="I148" s="36"/>
    </row>
    <row r="149" spans="8:10" x14ac:dyDescent="0.2">
      <c r="H149" s="36"/>
      <c r="I149" s="36"/>
    </row>
    <row r="150" spans="8:10" x14ac:dyDescent="0.2">
      <c r="H150" s="36"/>
      <c r="I150" s="36"/>
    </row>
    <row r="151" spans="8:10" x14ac:dyDescent="0.2">
      <c r="H151" s="68"/>
      <c r="I151" s="36"/>
    </row>
    <row r="152" spans="8:10" x14ac:dyDescent="0.2">
      <c r="H152" s="68"/>
      <c r="I152" s="36"/>
    </row>
    <row r="153" spans="8:10" x14ac:dyDescent="0.2">
      <c r="H153" s="68"/>
      <c r="I153" s="36"/>
    </row>
    <row r="154" spans="8:10" x14ac:dyDescent="0.2">
      <c r="H154" s="68"/>
      <c r="I154" s="36"/>
    </row>
    <row r="155" spans="8:10" x14ac:dyDescent="0.2">
      <c r="H155" s="68"/>
      <c r="I155" s="36"/>
    </row>
    <row r="156" spans="8:10" x14ac:dyDescent="0.2">
      <c r="H156" s="68"/>
      <c r="I156" s="36"/>
    </row>
    <row r="157" spans="8:10" x14ac:dyDescent="0.2">
      <c r="H157" s="68"/>
      <c r="I157" s="36"/>
    </row>
    <row r="158" spans="8:10" x14ac:dyDescent="0.2">
      <c r="H158" s="68"/>
      <c r="I158" s="36"/>
    </row>
    <row r="159" spans="8:10" x14ac:dyDescent="0.2">
      <c r="H159" s="68"/>
      <c r="I159" s="36"/>
    </row>
    <row r="160" spans="8:10" x14ac:dyDescent="0.2">
      <c r="H160" s="36"/>
      <c r="I160" s="36"/>
    </row>
    <row r="161" spans="8:9" x14ac:dyDescent="0.2">
      <c r="H161" s="36"/>
      <c r="I161" s="36"/>
    </row>
    <row r="162" spans="8:9" x14ac:dyDescent="0.2">
      <c r="H162" s="36"/>
      <c r="I162" s="36"/>
    </row>
    <row r="163" spans="8:9" x14ac:dyDescent="0.2">
      <c r="H163" s="36"/>
      <c r="I163" s="36"/>
    </row>
    <row r="164" spans="8:9" x14ac:dyDescent="0.2">
      <c r="H164" s="36"/>
      <c r="I164" s="36"/>
    </row>
    <row r="165" spans="8:9" x14ac:dyDescent="0.2">
      <c r="H165" s="36"/>
      <c r="I165" s="36"/>
    </row>
    <row r="166" spans="8:9" x14ac:dyDescent="0.2">
      <c r="H166" s="36"/>
      <c r="I166" s="36"/>
    </row>
    <row r="167" spans="8:9" x14ac:dyDescent="0.2">
      <c r="H167" s="36"/>
      <c r="I167" s="36"/>
    </row>
    <row r="168" spans="8:9" x14ac:dyDescent="0.2">
      <c r="H168" s="36"/>
      <c r="I168" s="36"/>
    </row>
    <row r="169" spans="8:9" x14ac:dyDescent="0.2">
      <c r="H169" s="36"/>
      <c r="I169" s="36"/>
    </row>
    <row r="170" spans="8:9" x14ac:dyDescent="0.2">
      <c r="H170" s="36"/>
      <c r="I170" s="36"/>
    </row>
    <row r="171" spans="8:9" x14ac:dyDescent="0.2">
      <c r="H171" s="36"/>
      <c r="I171" s="36"/>
    </row>
    <row r="172" spans="8:9" x14ac:dyDescent="0.2">
      <c r="H172" s="36"/>
      <c r="I172" s="36"/>
    </row>
    <row r="173" spans="8:9" x14ac:dyDescent="0.2">
      <c r="H173" s="36"/>
      <c r="I173" s="36"/>
    </row>
    <row r="174" spans="8:9" x14ac:dyDescent="0.2">
      <c r="H174" s="36"/>
      <c r="I174" s="36"/>
    </row>
    <row r="175" spans="8:9" x14ac:dyDescent="0.2">
      <c r="H175" s="36"/>
      <c r="I175" s="36"/>
    </row>
    <row r="176" spans="8:9" x14ac:dyDescent="0.2">
      <c r="H176" s="36"/>
      <c r="I176" s="36"/>
    </row>
    <row r="177" spans="8:9" x14ac:dyDescent="0.2">
      <c r="H177" s="36"/>
      <c r="I177" s="36"/>
    </row>
    <row r="178" spans="8:9" x14ac:dyDescent="0.2">
      <c r="H178" s="36" t="s">
        <v>112</v>
      </c>
      <c r="I178" s="36"/>
    </row>
    <row r="179" spans="8:9" x14ac:dyDescent="0.2">
      <c r="H179" s="36"/>
      <c r="I179" s="36"/>
    </row>
    <row r="180" spans="8:9" x14ac:dyDescent="0.2">
      <c r="H180" s="36"/>
      <c r="I180" s="36"/>
    </row>
    <row r="181" spans="8:9" x14ac:dyDescent="0.2">
      <c r="H181" s="36"/>
      <c r="I181" s="36"/>
    </row>
    <row r="182" spans="8:9" x14ac:dyDescent="0.2">
      <c r="H182" s="36"/>
      <c r="I182" s="36"/>
    </row>
    <row r="183" spans="8:9" x14ac:dyDescent="0.2">
      <c r="H183" s="36"/>
      <c r="I183" s="36"/>
    </row>
    <row r="184" spans="8:9" x14ac:dyDescent="0.2">
      <c r="H184" s="36"/>
      <c r="I184" s="36"/>
    </row>
    <row r="185" spans="8:9" x14ac:dyDescent="0.2">
      <c r="H185" s="35"/>
      <c r="I185" s="68"/>
    </row>
    <row r="186" spans="8:9" x14ac:dyDescent="0.2">
      <c r="H186" s="36"/>
      <c r="I186" s="68"/>
    </row>
    <row r="187" spans="8:9" x14ac:dyDescent="0.2">
      <c r="H187" s="36"/>
      <c r="I187" s="68"/>
    </row>
    <row r="188" spans="8:9" x14ac:dyDescent="0.2">
      <c r="H188" s="36"/>
      <c r="I188" s="36"/>
    </row>
    <row r="189" spans="8:9" x14ac:dyDescent="0.2">
      <c r="H189" s="35"/>
      <c r="I189" s="68"/>
    </row>
    <row r="190" spans="8:9" x14ac:dyDescent="0.2">
      <c r="H190" s="35"/>
      <c r="I190" s="68"/>
    </row>
    <row r="191" spans="8:9" x14ac:dyDescent="0.2">
      <c r="H191" s="35"/>
      <c r="I191" s="68"/>
    </row>
    <row r="192" spans="8:9" x14ac:dyDescent="0.2">
      <c r="H192" s="35"/>
      <c r="I192" s="68"/>
    </row>
    <row r="193" spans="8:9" x14ac:dyDescent="0.2">
      <c r="H193" s="68"/>
      <c r="I193" s="36"/>
    </row>
    <row r="194" spans="8:9" x14ac:dyDescent="0.2">
      <c r="H194" s="36"/>
      <c r="I194" s="36"/>
    </row>
    <row r="195" spans="8:9" x14ac:dyDescent="0.2">
      <c r="H195" s="36"/>
      <c r="I195" s="68"/>
    </row>
    <row r="196" spans="8:9" x14ac:dyDescent="0.2">
      <c r="H196" s="36"/>
      <c r="I196" s="68"/>
    </row>
    <row r="197" spans="8:9" x14ac:dyDescent="0.2">
      <c r="H197" s="36"/>
      <c r="I197" s="36"/>
    </row>
    <row r="198" spans="8:9" x14ac:dyDescent="0.2">
      <c r="H198" s="36"/>
      <c r="I198" s="36"/>
    </row>
    <row r="199" spans="8:9" x14ac:dyDescent="0.2">
      <c r="H199" s="36"/>
      <c r="I199" s="36"/>
    </row>
    <row r="200" spans="8:9" x14ac:dyDescent="0.2">
      <c r="H200" s="36"/>
      <c r="I200" s="36"/>
    </row>
    <row r="201" spans="8:9" x14ac:dyDescent="0.2">
      <c r="H201" s="36"/>
      <c r="I201" s="36"/>
    </row>
    <row r="202" spans="8:9" x14ac:dyDescent="0.2">
      <c r="H202" s="35"/>
      <c r="I202" s="36"/>
    </row>
    <row r="203" spans="8:9" x14ac:dyDescent="0.2">
      <c r="H203" s="68"/>
      <c r="I203" s="36"/>
    </row>
    <row r="204" spans="8:9" x14ac:dyDescent="0.2">
      <c r="H204" s="36"/>
      <c r="I204" s="36"/>
    </row>
    <row r="205" spans="8:9" x14ac:dyDescent="0.2">
      <c r="H205" s="68"/>
      <c r="I205" s="36"/>
    </row>
    <row r="206" spans="8:9" x14ac:dyDescent="0.2">
      <c r="H206" s="68"/>
      <c r="I206" s="36"/>
    </row>
    <row r="207" spans="8:9" x14ac:dyDescent="0.2">
      <c r="H207" s="68"/>
      <c r="I207" s="36"/>
    </row>
    <row r="208" spans="8:9" x14ac:dyDescent="0.2">
      <c r="H208" s="68"/>
      <c r="I208" s="36"/>
    </row>
    <row r="209" spans="8:9" x14ac:dyDescent="0.2">
      <c r="H209" s="68"/>
      <c r="I209" s="36"/>
    </row>
    <row r="210" spans="8:9" x14ac:dyDescent="0.2">
      <c r="H210" s="68"/>
      <c r="I210" s="36"/>
    </row>
    <row r="211" spans="8:9" x14ac:dyDescent="0.2">
      <c r="H211" s="68"/>
      <c r="I211" s="36"/>
    </row>
    <row r="212" spans="8:9" x14ac:dyDescent="0.2">
      <c r="H212" s="36"/>
      <c r="I212" s="36"/>
    </row>
    <row r="213" spans="8:9" x14ac:dyDescent="0.2">
      <c r="H213" s="36"/>
      <c r="I213" s="36"/>
    </row>
    <row r="214" spans="8:9" x14ac:dyDescent="0.2">
      <c r="H214" s="36"/>
      <c r="I214" s="36"/>
    </row>
    <row r="215" spans="8:9" x14ac:dyDescent="0.2">
      <c r="H215" s="36"/>
      <c r="I215" s="36"/>
    </row>
    <row r="216" spans="8:9" x14ac:dyDescent="0.2">
      <c r="H216" s="36"/>
      <c r="I216" s="36"/>
    </row>
    <row r="217" spans="8:9" x14ac:dyDescent="0.2">
      <c r="H217" s="36"/>
      <c r="I217" s="36"/>
    </row>
    <row r="218" spans="8:9" x14ac:dyDescent="0.2">
      <c r="H218" s="36"/>
      <c r="I218" s="36"/>
    </row>
    <row r="219" spans="8:9" x14ac:dyDescent="0.2">
      <c r="H219" s="36"/>
      <c r="I219" s="36"/>
    </row>
    <row r="220" spans="8:9" x14ac:dyDescent="0.2">
      <c r="H220" s="36"/>
      <c r="I220" s="36"/>
    </row>
    <row r="221" spans="8:9" x14ac:dyDescent="0.2">
      <c r="H221" s="36"/>
      <c r="I221" s="36"/>
    </row>
    <row r="222" spans="8:9" x14ac:dyDescent="0.2">
      <c r="H222" s="36"/>
      <c r="I222" s="36"/>
    </row>
    <row r="223" spans="8:9" x14ac:dyDescent="0.2">
      <c r="H223" s="36"/>
      <c r="I223" s="36"/>
    </row>
    <row r="224" spans="8:9" x14ac:dyDescent="0.2">
      <c r="H224" s="36"/>
      <c r="I224" s="36"/>
    </row>
    <row r="225" spans="8:9" x14ac:dyDescent="0.2">
      <c r="H225" s="36"/>
      <c r="I225" s="36"/>
    </row>
    <row r="226" spans="8:9" x14ac:dyDescent="0.2">
      <c r="H226" s="36"/>
      <c r="I226" s="36"/>
    </row>
    <row r="227" spans="8:9" x14ac:dyDescent="0.2">
      <c r="H227" s="36"/>
      <c r="I227" s="36"/>
    </row>
    <row r="228" spans="8:9" x14ac:dyDescent="0.2">
      <c r="H228" s="36"/>
      <c r="I228" s="36"/>
    </row>
    <row r="229" spans="8:9" x14ac:dyDescent="0.2">
      <c r="H229" s="36"/>
      <c r="I229" s="36"/>
    </row>
    <row r="230" spans="8:9" x14ac:dyDescent="0.2">
      <c r="H230" s="36"/>
      <c r="I230" s="36"/>
    </row>
    <row r="231" spans="8:9" x14ac:dyDescent="0.2">
      <c r="H231" s="36"/>
      <c r="I231" s="36"/>
    </row>
    <row r="232" spans="8:9" x14ac:dyDescent="0.2">
      <c r="H232" s="36"/>
      <c r="I232" s="36"/>
    </row>
    <row r="233" spans="8:9" x14ac:dyDescent="0.2">
      <c r="H233" s="36"/>
      <c r="I233" s="36"/>
    </row>
    <row r="234" spans="8:9" x14ac:dyDescent="0.2">
      <c r="H234" s="36"/>
      <c r="I234" s="36"/>
    </row>
    <row r="235" spans="8:9" x14ac:dyDescent="0.2">
      <c r="H235" s="36"/>
      <c r="I235" s="36"/>
    </row>
    <row r="236" spans="8:9" x14ac:dyDescent="0.2">
      <c r="H236" s="36"/>
      <c r="I236" s="36"/>
    </row>
    <row r="237" spans="8:9" x14ac:dyDescent="0.2">
      <c r="H237" s="36"/>
      <c r="I237" s="36"/>
    </row>
    <row r="238" spans="8:9" x14ac:dyDescent="0.2">
      <c r="H238" s="36"/>
      <c r="I238" s="36"/>
    </row>
    <row r="239" spans="8:9" x14ac:dyDescent="0.2">
      <c r="H239" s="36"/>
      <c r="I239" s="36"/>
    </row>
    <row r="240" spans="8:9" x14ac:dyDescent="0.2">
      <c r="H240" s="36"/>
      <c r="I240" s="36"/>
    </row>
    <row r="241" spans="8:9" x14ac:dyDescent="0.2">
      <c r="H241" s="36"/>
      <c r="I241" s="36"/>
    </row>
    <row r="242" spans="8:9" x14ac:dyDescent="0.2">
      <c r="H242" s="36"/>
      <c r="I242" s="36"/>
    </row>
    <row r="243" spans="8:9" x14ac:dyDescent="0.2">
      <c r="H243" s="36"/>
      <c r="I243" s="36"/>
    </row>
    <row r="244" spans="8:9" x14ac:dyDescent="0.2">
      <c r="H244" s="36"/>
      <c r="I244" s="36"/>
    </row>
    <row r="245" spans="8:9" x14ac:dyDescent="0.2">
      <c r="H245" s="36"/>
      <c r="I245" s="36"/>
    </row>
    <row r="246" spans="8:9" x14ac:dyDescent="0.2">
      <c r="H246" s="36"/>
      <c r="I246" s="36"/>
    </row>
    <row r="247" spans="8:9" x14ac:dyDescent="0.2">
      <c r="H247" s="36"/>
      <c r="I247" s="36"/>
    </row>
    <row r="248" spans="8:9" x14ac:dyDescent="0.2">
      <c r="H248" s="36"/>
      <c r="I248" s="36"/>
    </row>
    <row r="249" spans="8:9" x14ac:dyDescent="0.2">
      <c r="H249" s="36"/>
      <c r="I249" s="36"/>
    </row>
  </sheetData>
  <mergeCells count="7">
    <mergeCell ref="T5:V5"/>
    <mergeCell ref="K26:L26"/>
    <mergeCell ref="M26:N26"/>
    <mergeCell ref="T26:U26"/>
    <mergeCell ref="K6:L6"/>
    <mergeCell ref="M6:N6"/>
    <mergeCell ref="T6:U6"/>
  </mergeCells>
  <phoneticPr fontId="2" type="noConversion"/>
  <pageMargins left="0.31" right="0.4" top="0.51" bottom="0.52" header="0.5" footer="0.5"/>
  <pageSetup scale="2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10" sqref="H10"/>
    </sheetView>
  </sheetViews>
  <sheetFormatPr defaultRowHeight="12.75" x14ac:dyDescent="0.2"/>
  <cols>
    <col min="1" max="1" width="12.5703125" customWidth="1"/>
    <col min="2" max="2" width="15" customWidth="1"/>
    <col min="3" max="3" width="16.28515625" customWidth="1"/>
    <col min="4" max="4" width="12.5703125" customWidth="1"/>
    <col min="6" max="6" width="9.42578125" customWidth="1"/>
    <col min="7" max="7" width="10.28515625" customWidth="1"/>
    <col min="8" max="8" width="13.7109375" customWidth="1"/>
    <col min="9" max="9" width="12.5703125" customWidth="1"/>
    <col min="10" max="10" width="9.5703125" customWidth="1"/>
    <col min="12" max="12" width="11" customWidth="1"/>
    <col min="13" max="13" width="11.85546875" customWidth="1"/>
    <col min="14" max="14" width="13.5703125" customWidth="1"/>
  </cols>
  <sheetData>
    <row r="1" spans="1:15" ht="24" thickBot="1" x14ac:dyDescent="0.4">
      <c r="A1" s="147" t="s">
        <v>0</v>
      </c>
      <c r="B1" s="148"/>
      <c r="C1" s="148"/>
      <c r="D1" s="148"/>
      <c r="E1" s="148"/>
      <c r="F1" s="148"/>
      <c r="G1" s="149"/>
      <c r="H1" s="1"/>
      <c r="I1" s="1"/>
      <c r="J1" s="1"/>
      <c r="K1" s="1"/>
      <c r="L1" s="1"/>
      <c r="M1" s="1"/>
    </row>
    <row r="3" spans="1:15" ht="13.5" thickBot="1" x14ac:dyDescent="0.25">
      <c r="A3" s="2"/>
      <c r="B3" s="2"/>
      <c r="C3" s="3"/>
      <c r="D3" s="3"/>
    </row>
    <row r="4" spans="1:15" ht="13.5" thickBot="1" x14ac:dyDescent="0.25">
      <c r="B4" s="152" t="s">
        <v>1</v>
      </c>
      <c r="C4" s="153"/>
      <c r="D4" s="153"/>
      <c r="E4" s="153"/>
      <c r="F4" s="153"/>
      <c r="G4" s="153"/>
      <c r="H4" s="4"/>
      <c r="N4" s="5"/>
      <c r="O4" s="5"/>
    </row>
    <row r="5" spans="1:15" ht="14.25" x14ac:dyDescent="0.2">
      <c r="A5" s="6" t="s">
        <v>2</v>
      </c>
      <c r="B5" s="7" t="s">
        <v>3</v>
      </c>
      <c r="C5" s="8" t="s">
        <v>84</v>
      </c>
      <c r="D5" s="150" t="s">
        <v>5</v>
      </c>
      <c r="E5" s="150"/>
      <c r="F5" s="150" t="s">
        <v>6</v>
      </c>
      <c r="G5" s="151"/>
      <c r="H5" s="9"/>
    </row>
    <row r="6" spans="1:15" ht="13.5" thickBot="1" x14ac:dyDescent="0.25">
      <c r="A6" s="10"/>
      <c r="B6" s="11"/>
      <c r="C6" s="12"/>
      <c r="D6" s="13" t="s">
        <v>7</v>
      </c>
      <c r="E6" s="13" t="s">
        <v>8</v>
      </c>
      <c r="F6" s="13" t="s">
        <v>7</v>
      </c>
      <c r="G6" s="14" t="s">
        <v>8</v>
      </c>
      <c r="H6" s="15" t="s">
        <v>9</v>
      </c>
      <c r="I6" s="16"/>
    </row>
    <row r="7" spans="1:15" x14ac:dyDescent="0.2">
      <c r="A7" s="118" t="s">
        <v>83</v>
      </c>
      <c r="B7" s="17"/>
      <c r="C7" s="131">
        <v>66314559.619999997</v>
      </c>
      <c r="D7" s="18">
        <v>0.21010000000000001</v>
      </c>
      <c r="E7" s="18">
        <v>5.2999999999999999E-2</v>
      </c>
      <c r="F7" s="18"/>
      <c r="G7" s="19"/>
      <c r="H7" s="20">
        <v>132</v>
      </c>
    </row>
    <row r="8" spans="1:15" x14ac:dyDescent="0.2">
      <c r="A8" s="118" t="s">
        <v>81</v>
      </c>
      <c r="B8" s="17"/>
      <c r="C8" s="130">
        <v>54134334.380000003</v>
      </c>
      <c r="D8" s="18">
        <v>0.1051</v>
      </c>
      <c r="E8" s="18">
        <v>4.8000000000000001E-2</v>
      </c>
      <c r="F8" s="18"/>
      <c r="G8" s="19"/>
      <c r="H8" s="20">
        <v>197</v>
      </c>
    </row>
    <row r="9" spans="1:15" x14ac:dyDescent="0.2">
      <c r="A9" s="21" t="s">
        <v>82</v>
      </c>
      <c r="B9" s="22"/>
      <c r="C9" s="130">
        <v>50048724.240000002</v>
      </c>
      <c r="D9" s="23">
        <v>6.6000000000000003E-2</v>
      </c>
      <c r="E9" s="23">
        <v>4.4999999999999998E-2</v>
      </c>
      <c r="F9" s="23"/>
      <c r="G9" s="24"/>
      <c r="H9" s="25">
        <v>400</v>
      </c>
    </row>
    <row r="10" spans="1:15" x14ac:dyDescent="0.2">
      <c r="A10" s="21" t="s">
        <v>89</v>
      </c>
      <c r="B10" s="122"/>
      <c r="C10" s="130">
        <v>40190642.189999998</v>
      </c>
      <c r="D10" s="123">
        <v>4.4999999999999998E-2</v>
      </c>
      <c r="E10" s="123">
        <v>4.2000000000000003E-2</v>
      </c>
      <c r="F10" s="123"/>
      <c r="G10" s="124"/>
      <c r="H10" s="125">
        <v>317</v>
      </c>
    </row>
    <row r="11" spans="1:15" x14ac:dyDescent="0.2">
      <c r="A11" s="121" t="s">
        <v>80</v>
      </c>
      <c r="B11" s="122"/>
      <c r="C11" s="130">
        <v>38443222.969999999</v>
      </c>
      <c r="D11" s="123">
        <v>3.4000000000000002E-2</v>
      </c>
      <c r="E11" s="123">
        <v>3.9E-2</v>
      </c>
      <c r="F11" s="123"/>
      <c r="G11" s="124"/>
      <c r="H11" s="125">
        <v>640</v>
      </c>
    </row>
    <row r="12" spans="1:15" x14ac:dyDescent="0.2">
      <c r="A12" s="121" t="s">
        <v>79</v>
      </c>
      <c r="B12" s="122"/>
      <c r="C12" s="130">
        <v>30843981</v>
      </c>
      <c r="D12" s="123">
        <v>2.8000000000000001E-2</v>
      </c>
      <c r="E12" s="123">
        <v>3.7999999999999999E-2</v>
      </c>
      <c r="F12" s="123"/>
      <c r="G12" s="124"/>
      <c r="H12" s="125">
        <v>425</v>
      </c>
    </row>
    <row r="13" spans="1:15" ht="13.5" thickBot="1" x14ac:dyDescent="0.25">
      <c r="A13" s="26" t="s">
        <v>88</v>
      </c>
      <c r="B13" s="27"/>
      <c r="C13" s="129">
        <v>31578361.719999999</v>
      </c>
      <c r="D13" s="28">
        <v>1.9E-2</v>
      </c>
      <c r="E13" s="28">
        <v>7.0000000000000007E-2</v>
      </c>
      <c r="F13" s="28"/>
      <c r="G13" s="29"/>
      <c r="H13" s="30">
        <v>830</v>
      </c>
    </row>
    <row r="16" spans="1:15" x14ac:dyDescent="0.2">
      <c r="C16" s="128"/>
    </row>
  </sheetData>
  <mergeCells count="4">
    <mergeCell ref="A1:G1"/>
    <mergeCell ref="D5:E5"/>
    <mergeCell ref="F5:G5"/>
    <mergeCell ref="B4:G4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WECC Equivalent</vt:lpstr>
      <vt:lpstr>Full Detail Model</vt:lpstr>
      <vt:lpstr>Cable Data</vt:lpstr>
    </vt:vector>
  </TitlesOfParts>
  <Company>Utility System Efficiencies,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L. Ellis</dc:creator>
  <cp:lastModifiedBy>Wang, Song</cp:lastModifiedBy>
  <cp:lastPrinted>2008-10-02T16:01:01Z</cp:lastPrinted>
  <dcterms:created xsi:type="dcterms:W3CDTF">2008-09-18T20:03:58Z</dcterms:created>
  <dcterms:modified xsi:type="dcterms:W3CDTF">2017-09-07T18:10:42Z</dcterms:modified>
</cp:coreProperties>
</file>